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10.2.21.165\共有フォルダ\助成G\R5\04 設備系要綱制定\様式\7.13掲載\"/>
    </mc:Choice>
  </mc:AlternateContent>
  <xr:revisionPtr revIDLastSave="0" documentId="13_ncr:1_{FDDE6F9C-A083-4965-9F28-B3B1DFCCDFA6}" xr6:coauthVersionLast="47" xr6:coauthVersionMax="47" xr10:uidLastSave="{00000000-0000-0000-0000-000000000000}"/>
  <workbookProtection workbookAlgorithmName="SHA-512" workbookHashValue="yi4xJ/RlVg3pxcBN+2Ef1XzogzlYmU0lpo32nNox31Gnv6udydwkJzktfgBsgt8blHr9QWOPXHGNt0VFPc2H7w==" workbookSaltValue="qmgQhRz3RfYqrgOaJixtoA==" workbookSpinCount="100000" lockStructure="1"/>
  <bookViews>
    <workbookView xWindow="-120" yWindow="-120" windowWidth="29040" windowHeight="15840" tabRatio="970" firstSheet="1" activeTab="1" xr2:uid="{6F65E667-41CE-4C20-AEDE-54A9FDB7F116}"/>
  </bookViews>
  <sheets>
    <sheet name="テーブル" sheetId="18" state="hidden" r:id="rId1"/>
    <sheet name="はじめに入力してください" sheetId="12" r:id="rId2"/>
    <sheet name="基本情報" sheetId="27" r:id="rId3"/>
    <sheet name="振込先情報" sheetId="17" state="hidden" r:id="rId4"/>
    <sheet name="事前協議書" sheetId="25" r:id="rId5"/>
    <sheet name="表紙" sheetId="3" r:id="rId6"/>
    <sheet name="経費書" sheetId="2" r:id="rId7"/>
    <sheet name="額内訳書" sheetId="1" r:id="rId8"/>
    <sheet name="看板" sheetId="23" r:id="rId9"/>
    <sheet name="HP" sheetId="24" r:id="rId10"/>
    <sheet name="医療機器・サーモ・換気設備" sheetId="21" r:id="rId11"/>
    <sheet name="歳入歳出抄本" sheetId="15" r:id="rId12"/>
    <sheet name="審査意見書" sheetId="28" r:id="rId13"/>
  </sheets>
  <definedNames>
    <definedName name="_xlnm.Print_Area" localSheetId="9">HP!$A$2:$AV$48</definedName>
    <definedName name="_xlnm.Print_Area" localSheetId="1">はじめに入力してください!$B$1:$AC$49</definedName>
    <definedName name="_xlnm.Print_Area" localSheetId="10">医療機器・サーモ・換気設備!$A$1:$AV$68</definedName>
    <definedName name="_xlnm.Print_Area" localSheetId="7">額内訳書!$A$1:$P$11</definedName>
    <definedName name="_xlnm.Print_Area" localSheetId="8">看板!$A$2:$AV$101</definedName>
    <definedName name="_xlnm.Print_Area" localSheetId="2">基本情報!$A$1:$AI$62</definedName>
    <definedName name="_xlnm.Print_Area" localSheetId="6">経費書!$A$1:$J$18</definedName>
    <definedName name="_xlnm.Print_Area" localSheetId="11">歳入歳出抄本!$A$1:$I$44</definedName>
    <definedName name="_xlnm.Print_Area" localSheetId="4">事前協議書!$A$2:$AV$54</definedName>
    <definedName name="_xlnm.Print_Area" localSheetId="12">審査意見書!$A$1:$E$11</definedName>
    <definedName name="_xlnm.Print_Area" localSheetId="3">振込先情報!$A$2:$AJ$56</definedName>
    <definedName name="_xlnm.Print_Area" localSheetId="5">表紙!$A$2:$S$46</definedName>
    <definedName name="_xlnm.Print_Titles" localSheetId="7">額内訳書!$2:$5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8" l="1"/>
  <c r="R82" i="23"/>
  <c r="R83" i="23"/>
  <c r="R84" i="23"/>
  <c r="R85" i="23"/>
  <c r="O19" i="12"/>
  <c r="O24" i="12"/>
  <c r="O23" i="12"/>
  <c r="O22" i="12"/>
  <c r="O21" i="12"/>
  <c r="O20" i="12"/>
  <c r="O18" i="12"/>
  <c r="P24" i="12"/>
  <c r="P23" i="12"/>
  <c r="P22" i="12"/>
  <c r="P21" i="12"/>
  <c r="P20" i="12"/>
  <c r="P19" i="12"/>
  <c r="P18" i="12"/>
  <c r="E1" i="28"/>
  <c r="A4" i="28"/>
  <c r="H19" i="27" l="1"/>
  <c r="AD8" i="15"/>
  <c r="AD6" i="15"/>
  <c r="AB8" i="15"/>
  <c r="AB6" i="15"/>
  <c r="AB83" i="23"/>
  <c r="R71" i="23"/>
  <c r="R73" i="23"/>
  <c r="R72" i="23"/>
  <c r="AF70" i="23"/>
  <c r="AD70" i="23"/>
  <c r="R70" i="23"/>
  <c r="H67" i="23"/>
  <c r="F67" i="23"/>
  <c r="R29" i="24"/>
  <c r="R28" i="24"/>
  <c r="R27" i="24"/>
  <c r="R26" i="24"/>
  <c r="N79" i="23"/>
  <c r="R79" i="23" s="1"/>
  <c r="AF58" i="23"/>
  <c r="AD58" i="23"/>
  <c r="R59" i="23"/>
  <c r="R58" i="23"/>
  <c r="R62" i="23" s="1"/>
  <c r="V62" i="23" s="1"/>
  <c r="R61" i="23"/>
  <c r="R60" i="23"/>
  <c r="R34" i="23"/>
  <c r="R37" i="23"/>
  <c r="R36" i="23"/>
  <c r="R35" i="23"/>
  <c r="R33" i="23"/>
  <c r="R46" i="23"/>
  <c r="R47" i="23"/>
  <c r="R48" i="23"/>
  <c r="R49" i="23"/>
  <c r="AF33" i="23"/>
  <c r="AD33" i="23"/>
  <c r="R45" i="23"/>
  <c r="D21" i="25"/>
  <c r="D20" i="25"/>
  <c r="P31" i="12"/>
  <c r="AC45" i="27"/>
  <c r="AJ8" i="27"/>
  <c r="AJ7" i="27"/>
  <c r="AJ5" i="27" s="1"/>
  <c r="AJ16" i="27"/>
  <c r="A16" i="27" s="1"/>
  <c r="AJ22" i="27"/>
  <c r="AJ15" i="27" s="1"/>
  <c r="AJ25" i="27"/>
  <c r="AJ24" i="27"/>
  <c r="AJ23" i="27"/>
  <c r="AJ40" i="27"/>
  <c r="A40" i="27" s="1"/>
  <c r="AJ48" i="27"/>
  <c r="A48" i="27" s="1"/>
  <c r="AJ56" i="27"/>
  <c r="AJ59" i="27"/>
  <c r="AJ53" i="27"/>
  <c r="V73" i="23" l="1"/>
  <c r="V72" i="23"/>
  <c r="V71" i="23"/>
  <c r="AD71" i="23" s="1"/>
  <c r="V60" i="23"/>
  <c r="AF60" i="23" s="1"/>
  <c r="R74" i="23"/>
  <c r="V74" i="23" s="1"/>
  <c r="V46" i="23"/>
  <c r="V61" i="23"/>
  <c r="AF61" i="23" s="1"/>
  <c r="V59" i="23"/>
  <c r="V47" i="23"/>
  <c r="V49" i="23"/>
  <c r="V48" i="23"/>
  <c r="R38" i="23"/>
  <c r="V38" i="23" s="1"/>
  <c r="AD59" i="23"/>
  <c r="AF62" i="23" s="1"/>
  <c r="AF59" i="23"/>
  <c r="AD60" i="23"/>
  <c r="AD61" i="23"/>
  <c r="R30" i="24"/>
  <c r="V27" i="24"/>
  <c r="V28" i="24"/>
  <c r="V34" i="23"/>
  <c r="V37" i="23"/>
  <c r="V36" i="23"/>
  <c r="V35" i="23"/>
  <c r="A15" i="27"/>
  <c r="AL1" i="27"/>
  <c r="AM1" i="27"/>
  <c r="AN1" i="27"/>
  <c r="A22" i="27"/>
  <c r="AK1" i="27"/>
  <c r="AE1" i="27" s="1"/>
  <c r="P44" i="12" s="1"/>
  <c r="A5" i="27"/>
  <c r="AD62" i="23" l="1"/>
  <c r="AF71" i="23"/>
  <c r="AF73" i="23"/>
  <c r="AD73" i="23"/>
  <c r="AF72" i="23"/>
  <c r="AD72" i="23"/>
  <c r="AD74" i="23" s="1"/>
  <c r="AD67" i="23" s="1"/>
  <c r="AD37" i="23"/>
  <c r="AF37" i="23"/>
  <c r="AF35" i="23"/>
  <c r="AD35" i="23"/>
  <c r="AD36" i="23"/>
  <c r="AF36" i="23"/>
  <c r="AF34" i="23"/>
  <c r="AD34" i="23"/>
  <c r="O25" i="12"/>
  <c r="AE25" i="12" s="1"/>
  <c r="O44" i="12"/>
  <c r="AF74" i="23" l="1"/>
  <c r="Z67" i="23"/>
  <c r="AF38" i="23"/>
  <c r="AD38" i="23"/>
  <c r="P25" i="12"/>
  <c r="AN53" i="3"/>
  <c r="B14" i="2"/>
  <c r="B12" i="2"/>
  <c r="B10" i="2"/>
  <c r="B8" i="2"/>
  <c r="B6" i="2"/>
  <c r="G4" i="1"/>
  <c r="T79" i="23"/>
  <c r="J35" i="24"/>
  <c r="A32" i="24" s="1"/>
  <c r="AW56" i="21"/>
  <c r="AW57" i="21"/>
  <c r="AW58" i="21"/>
  <c r="AW59" i="21"/>
  <c r="AW60" i="21"/>
  <c r="AW61" i="21"/>
  <c r="AW55" i="21"/>
  <c r="AW35" i="21"/>
  <c r="AW36" i="21" s="1"/>
  <c r="AW34" i="21"/>
  <c r="AW20" i="21"/>
  <c r="AZ20" i="21" s="1"/>
  <c r="AW16" i="21"/>
  <c r="AW17" i="21"/>
  <c r="AW18" i="21"/>
  <c r="AW19" i="21"/>
  <c r="AW15" i="21"/>
  <c r="AL61" i="21"/>
  <c r="AQ61" i="21" s="1"/>
  <c r="AL60" i="21"/>
  <c r="AQ60" i="21" s="1"/>
  <c r="AL59" i="21"/>
  <c r="AQ59" i="21" s="1"/>
  <c r="AL58" i="21"/>
  <c r="AQ58" i="21" s="1"/>
  <c r="AL57" i="21"/>
  <c r="AQ57" i="21" s="1"/>
  <c r="AL56" i="21"/>
  <c r="AQ56" i="21" s="1"/>
  <c r="AL55" i="21"/>
  <c r="AQ55" i="21" s="1"/>
  <c r="AL34" i="21"/>
  <c r="AQ34" i="21" s="1"/>
  <c r="AL15" i="21"/>
  <c r="AQ15" i="21" s="1"/>
  <c r="AY5" i="23" l="1"/>
  <c r="AX33" i="23"/>
  <c r="AW62" i="21"/>
  <c r="O30" i="12"/>
  <c r="AW3" i="21"/>
  <c r="P30" i="12"/>
  <c r="B8" i="21"/>
  <c r="D9" i="1"/>
  <c r="C9" i="1" s="1"/>
  <c r="D10" i="1"/>
  <c r="C10" i="1" s="1"/>
  <c r="AZ36" i="21"/>
  <c r="B27" i="21" s="1"/>
  <c r="AW2" i="21"/>
  <c r="AX2" i="21" s="1"/>
  <c r="P47" i="12" s="1"/>
  <c r="O29" i="12"/>
  <c r="P29" i="12"/>
  <c r="AY5" i="24"/>
  <c r="AB79" i="23"/>
  <c r="AF49" i="23"/>
  <c r="AD49" i="23"/>
  <c r="AF45" i="23"/>
  <c r="AD45" i="23"/>
  <c r="AD46" i="23"/>
  <c r="H42" i="23"/>
  <c r="F42" i="23"/>
  <c r="AQ62" i="21" l="1"/>
  <c r="B62" i="21" s="1"/>
  <c r="B64" i="23"/>
  <c r="D8" i="1"/>
  <c r="C8" i="1" s="1"/>
  <c r="AW4" i="21"/>
  <c r="O28" i="12"/>
  <c r="P28" i="12"/>
  <c r="AZ62" i="21"/>
  <c r="B43" i="21" s="1"/>
  <c r="L10" i="1"/>
  <c r="AE30" i="12"/>
  <c r="H10" i="1"/>
  <c r="J10" i="1"/>
  <c r="AE29" i="12"/>
  <c r="J9" i="1"/>
  <c r="L9" i="1"/>
  <c r="H9" i="1"/>
  <c r="R50" i="23"/>
  <c r="V50" i="23" s="1"/>
  <c r="B12" i="3"/>
  <c r="B3" i="3"/>
  <c r="BG15" i="21"/>
  <c r="C48" i="12"/>
  <c r="C43" i="12"/>
  <c r="C42" i="12"/>
  <c r="C41" i="12"/>
  <c r="B2" i="15"/>
  <c r="B39" i="25"/>
  <c r="AI34" i="25"/>
  <c r="AI33" i="25"/>
  <c r="B1" i="15"/>
  <c r="B1" i="1"/>
  <c r="B2" i="1"/>
  <c r="B1" i="2"/>
  <c r="C4" i="1"/>
  <c r="J6" i="2"/>
  <c r="F5" i="2"/>
  <c r="D5" i="2"/>
  <c r="G4" i="2"/>
  <c r="B2" i="2"/>
  <c r="B35" i="3"/>
  <c r="B27" i="3"/>
  <c r="H22" i="3"/>
  <c r="B19" i="3"/>
  <c r="C22" i="3"/>
  <c r="C21" i="3"/>
  <c r="C20" i="3"/>
  <c r="B18" i="3"/>
  <c r="B17" i="3"/>
  <c r="AF8" i="25"/>
  <c r="AL9" i="25"/>
  <c r="AF9" i="25"/>
  <c r="AF7" i="25"/>
  <c r="AD52" i="25"/>
  <c r="AD53" i="25"/>
  <c r="AB81" i="23"/>
  <c r="H55" i="23"/>
  <c r="F55" i="23"/>
  <c r="AD55" i="23" l="1"/>
  <c r="Z55" i="23"/>
  <c r="AO4" i="21"/>
  <c r="L8" i="1"/>
  <c r="AE28" i="12"/>
  <c r="J8" i="1"/>
  <c r="H8" i="1"/>
  <c r="E8" i="1"/>
  <c r="F8" i="1" s="1"/>
  <c r="O47" i="12"/>
  <c r="BG16" i="21"/>
  <c r="BG17" i="21"/>
  <c r="BG18" i="21"/>
  <c r="BG19" i="21"/>
  <c r="BH16" i="21"/>
  <c r="BH17" i="21"/>
  <c r="BH18" i="21"/>
  <c r="BH19" i="21"/>
  <c r="BH15" i="21"/>
  <c r="F35" i="24"/>
  <c r="AF26" i="24"/>
  <c r="AD26" i="24"/>
  <c r="T80" i="23"/>
  <c r="V80" i="23" s="1"/>
  <c r="AE83" i="23" s="1"/>
  <c r="T81" i="23"/>
  <c r="V81" i="23" s="1"/>
  <c r="T82" i="23"/>
  <c r="V82" i="23" s="1"/>
  <c r="T83" i="23"/>
  <c r="V83" i="23" s="1"/>
  <c r="T84" i="23"/>
  <c r="V84" i="23" s="1"/>
  <c r="T85" i="23"/>
  <c r="V85" i="23" s="1"/>
  <c r="V79" i="23"/>
  <c r="AE81" i="23" s="1"/>
  <c r="N80" i="23"/>
  <c r="R80" i="23" s="1"/>
  <c r="N81" i="23"/>
  <c r="R81" i="23" s="1"/>
  <c r="N82" i="23"/>
  <c r="N83" i="23"/>
  <c r="N84" i="23"/>
  <c r="N85" i="23"/>
  <c r="H30" i="23"/>
  <c r="F30" i="23"/>
  <c r="R86" i="23" l="1"/>
  <c r="AJ81" i="23"/>
  <c r="AE79" i="23"/>
  <c r="AH79" i="23" s="1"/>
  <c r="AJ83" i="23"/>
  <c r="N86" i="23"/>
  <c r="V29" i="24"/>
  <c r="AD29" i="24" s="1"/>
  <c r="AH81" i="23"/>
  <c r="AP9" i="1"/>
  <c r="BH20" i="21"/>
  <c r="BG20" i="21"/>
  <c r="L35" i="24"/>
  <c r="V30" i="24"/>
  <c r="AD27" i="24"/>
  <c r="AF28" i="24"/>
  <c r="AJ79" i="23" l="1"/>
  <c r="AH83" i="23"/>
  <c r="AH85" i="23" s="1"/>
  <c r="AD48" i="23"/>
  <c r="AF48" i="23"/>
  <c r="AF47" i="23"/>
  <c r="AD47" i="23"/>
  <c r="AF46" i="23"/>
  <c r="AF29" i="24"/>
  <c r="AD28" i="24"/>
  <c r="AD30" i="24" s="1"/>
  <c r="AX23" i="24" s="1"/>
  <c r="AF27" i="24"/>
  <c r="A76" i="23" l="1"/>
  <c r="AF30" i="24"/>
  <c r="AF50" i="23"/>
  <c r="AD50" i="23"/>
  <c r="AD42" i="23" s="1"/>
  <c r="Z30" i="23"/>
  <c r="AE44" i="12"/>
  <c r="AD30" i="23"/>
  <c r="AW23" i="24" l="1"/>
  <c r="A23" i="24" s="1"/>
  <c r="Z42" i="23"/>
  <c r="AX30" i="23"/>
  <c r="AX31" i="23" l="1"/>
  <c r="AY3" i="23"/>
  <c r="B52" i="23"/>
  <c r="AX32" i="23"/>
  <c r="AY4" i="24"/>
  <c r="T6" i="24" s="1"/>
  <c r="AX29" i="23"/>
  <c r="AY4" i="23"/>
  <c r="AZ4" i="24"/>
  <c r="P46" i="12" s="1"/>
  <c r="AY2" i="23"/>
  <c r="AY29" i="23" l="1"/>
  <c r="B26" i="23" s="1"/>
  <c r="AO3" i="24"/>
  <c r="O27" i="12"/>
  <c r="P27" i="12"/>
  <c r="D7" i="1"/>
  <c r="O46" i="12"/>
  <c r="AE46" i="12" s="1"/>
  <c r="AP7" i="1"/>
  <c r="AE42" i="12"/>
  <c r="AE27" i="12" l="1"/>
  <c r="L7" i="1"/>
  <c r="H7" i="1"/>
  <c r="J7" i="1"/>
  <c r="C7" i="1"/>
  <c r="E7" i="1"/>
  <c r="F7" i="1" s="1"/>
  <c r="AT7" i="1"/>
  <c r="B36" i="3"/>
  <c r="AG7" i="1" l="1"/>
  <c r="AH7" i="1"/>
  <c r="AG8" i="1"/>
  <c r="AH8" i="1"/>
  <c r="AG9" i="1"/>
  <c r="AH9" i="1"/>
  <c r="AG10" i="1"/>
  <c r="AH10" i="1"/>
  <c r="E16" i="18"/>
  <c r="D16" i="18"/>
  <c r="C16" i="18"/>
  <c r="AF7" i="1" l="1"/>
  <c r="AE7" i="1" s="1"/>
  <c r="AF8" i="1"/>
  <c r="AE8" i="1" s="1"/>
  <c r="AF9" i="1"/>
  <c r="AE9" i="1" s="1"/>
  <c r="AF10" i="1"/>
  <c r="AE10" i="1" s="1"/>
  <c r="AF24" i="12" l="1"/>
  <c r="AF23" i="12"/>
  <c r="AF22" i="12"/>
  <c r="AF21" i="12"/>
  <c r="AF20" i="12"/>
  <c r="AF19" i="12"/>
  <c r="AF18" i="12"/>
  <c r="AF17" i="12"/>
  <c r="AI36" i="25" s="1"/>
  <c r="AF14" i="12"/>
  <c r="AF15" i="12"/>
  <c r="B32" i="3" l="1"/>
  <c r="AF7" i="12"/>
  <c r="AF8" i="12"/>
  <c r="AF9" i="12"/>
  <c r="AF10" i="12"/>
  <c r="AF11" i="12"/>
  <c r="AF6" i="12"/>
  <c r="P17" i="12"/>
  <c r="E14" i="18"/>
  <c r="D14" i="18"/>
  <c r="P12" i="12" s="1"/>
  <c r="C14" i="18"/>
  <c r="O12" i="12" l="1"/>
  <c r="AE23" i="12"/>
  <c r="AF12" i="12" l="1"/>
  <c r="AK3" i="25" s="1"/>
  <c r="O16" i="12"/>
  <c r="AF16" i="12" s="1"/>
  <c r="AI35" i="25" s="1"/>
  <c r="P16" i="12" l="1"/>
  <c r="L45" i="3"/>
  <c r="AL35" i="21"/>
  <c r="AO7" i="1"/>
  <c r="AO8" i="1"/>
  <c r="AO9" i="1"/>
  <c r="AO10" i="1"/>
  <c r="AQ36" i="21" l="1"/>
  <c r="AO3" i="21" s="1"/>
  <c r="E10" i="1" s="1"/>
  <c r="F10" i="1" s="1"/>
  <c r="AQ35" i="21"/>
  <c r="AR9" i="1"/>
  <c r="AS9" i="1"/>
  <c r="AT10" i="1"/>
  <c r="BG35" i="21"/>
  <c r="BH35" i="21"/>
  <c r="BH34" i="21"/>
  <c r="BG34" i="21"/>
  <c r="AQ9" i="1" l="1"/>
  <c r="BH36" i="21"/>
  <c r="BH6" i="21" s="1"/>
  <c r="BG36" i="21"/>
  <c r="AP10" i="1" s="1"/>
  <c r="AL19" i="21"/>
  <c r="AQ19" i="21" s="1"/>
  <c r="AL16" i="21"/>
  <c r="AQ16" i="21" s="1"/>
  <c r="AL17" i="21"/>
  <c r="AQ17" i="21" s="1"/>
  <c r="AL18" i="21"/>
  <c r="AQ18" i="21" s="1"/>
  <c r="AT9" i="1"/>
  <c r="G30" i="17"/>
  <c r="H29" i="17"/>
  <c r="I29" i="17"/>
  <c r="J29" i="17"/>
  <c r="K29" i="17"/>
  <c r="L29" i="17"/>
  <c r="M29" i="17"/>
  <c r="G29" i="17"/>
  <c r="G28" i="17"/>
  <c r="AE22" i="12"/>
  <c r="G26" i="17"/>
  <c r="G25" i="17"/>
  <c r="H24" i="17"/>
  <c r="I24" i="17"/>
  <c r="G24" i="17"/>
  <c r="H23" i="17"/>
  <c r="I23" i="17"/>
  <c r="J23" i="17"/>
  <c r="G23" i="17"/>
  <c r="AE24" i="12"/>
  <c r="AE21" i="12"/>
  <c r="AE20" i="12"/>
  <c r="AE19" i="12"/>
  <c r="AE18" i="12"/>
  <c r="AQ20" i="21" l="1"/>
  <c r="AO2" i="21" s="1"/>
  <c r="BH5" i="21"/>
  <c r="BG5" i="21"/>
  <c r="AS10" i="1"/>
  <c r="AR10" i="1"/>
  <c r="AS7" i="1"/>
  <c r="AR7" i="1"/>
  <c r="AQ7" i="1"/>
  <c r="C8" i="2"/>
  <c r="BG6" i="21"/>
  <c r="E9" i="1" l="1"/>
  <c r="F9" i="1" s="1"/>
  <c r="C12" i="2" s="1"/>
  <c r="AO5" i="21"/>
  <c r="C14" i="2"/>
  <c r="AE47" i="12"/>
  <c r="D16" i="2" l="1"/>
  <c r="N5" i="3" l="1"/>
  <c r="E36" i="15" s="1"/>
  <c r="P14" i="12"/>
  <c r="I17" i="2" l="1"/>
  <c r="H17" i="2"/>
  <c r="G17" i="2"/>
  <c r="F17" i="2"/>
  <c r="E17" i="2"/>
  <c r="D17" i="2"/>
  <c r="C17" i="2"/>
  <c r="AP8" i="1" l="1"/>
  <c r="AC8" i="15"/>
  <c r="AC6" i="15"/>
  <c r="AA8" i="15"/>
  <c r="AA6" i="15"/>
  <c r="Z8" i="15"/>
  <c r="Z6" i="15"/>
  <c r="Y6" i="15"/>
  <c r="Y8" i="15"/>
  <c r="O31" i="12"/>
  <c r="AE31" i="12" s="1"/>
  <c r="AR8" i="1" l="1"/>
  <c r="AS8" i="1"/>
  <c r="AT8" i="1"/>
  <c r="AF6" i="15"/>
  <c r="AF13" i="15"/>
  <c r="AM5" i="12" l="1"/>
  <c r="AM4" i="12" l="1"/>
  <c r="AM3" i="12"/>
  <c r="AE13" i="12"/>
  <c r="O6" i="12"/>
  <c r="AE6" i="12" s="1"/>
  <c r="P15" i="12"/>
  <c r="P11" i="12"/>
  <c r="AF33" i="12"/>
  <c r="O11" i="12"/>
  <c r="AE11" i="12" s="1"/>
  <c r="C36" i="15" l="1"/>
  <c r="O3" i="12"/>
  <c r="AE3" i="12" s="1"/>
  <c r="P3" i="12"/>
  <c r="O7" i="12"/>
  <c r="AE7" i="12" s="1"/>
  <c r="O8" i="12"/>
  <c r="O9" i="12"/>
  <c r="O14" i="12"/>
  <c r="O15" i="12"/>
  <c r="O17" i="12"/>
  <c r="Z11" i="15" l="1"/>
  <c r="P48" i="12" s="1"/>
  <c r="AE15" i="12"/>
  <c r="L44" i="3"/>
  <c r="AE17" i="12"/>
  <c r="L46" i="3"/>
  <c r="AE14" i="12"/>
  <c r="L43" i="3"/>
  <c r="Y11" i="15"/>
  <c r="O48" i="12" s="1"/>
  <c r="AE48" i="12" s="1"/>
  <c r="L9" i="3"/>
  <c r="AE10" i="12"/>
  <c r="P10" i="12"/>
  <c r="P7" i="12"/>
  <c r="P9" i="12"/>
  <c r="AE9" i="12"/>
  <c r="O10" i="12"/>
  <c r="AE16" i="12"/>
  <c r="P8" i="12"/>
  <c r="AE8" i="12"/>
  <c r="P6" i="12"/>
  <c r="N11" i="17" l="1"/>
  <c r="N9" i="17"/>
  <c r="N7" i="17"/>
  <c r="S7" i="17" l="1"/>
  <c r="E38" i="15"/>
  <c r="AQ10" i="1" l="1"/>
  <c r="H3" i="2" l="1"/>
  <c r="E40" i="15" l="1"/>
  <c r="L10" i="3"/>
  <c r="S11" i="17" s="1"/>
  <c r="W17" i="17" l="1"/>
  <c r="W15" i="17"/>
  <c r="W13" i="17"/>
  <c r="N4" i="3"/>
  <c r="L8" i="3"/>
  <c r="S9" i="17" s="1"/>
  <c r="E8" i="2" l="1"/>
  <c r="F8" i="2" s="1"/>
  <c r="G8" i="2" s="1"/>
  <c r="E12" i="2"/>
  <c r="F12" i="2" s="1"/>
  <c r="G12" i="2" s="1"/>
  <c r="H12" i="2" l="1"/>
  <c r="I12" i="2" s="1"/>
  <c r="H8" i="2"/>
  <c r="I8" i="2" s="1"/>
  <c r="E14" i="2"/>
  <c r="F14" i="2" s="1"/>
  <c r="G14" i="2" s="1"/>
  <c r="H14" i="2" s="1"/>
  <c r="I14" i="2" s="1"/>
  <c r="AQ8" i="1" l="1"/>
  <c r="AP1" i="1" l="1"/>
  <c r="AN52" i="3" l="1"/>
  <c r="C10" i="2"/>
  <c r="AE12" i="12"/>
  <c r="E10" i="2" l="1"/>
  <c r="F10" i="2" l="1"/>
  <c r="G10" i="2" s="1"/>
  <c r="H10" i="2" l="1"/>
  <c r="I10" i="2" l="1"/>
  <c r="AY6" i="23" l="1"/>
  <c r="AZ2" i="23" s="1"/>
  <c r="P45" i="12" l="1"/>
  <c r="AO3" i="23"/>
  <c r="P26" i="12"/>
  <c r="O45" i="12"/>
  <c r="AE45" i="12" s="1"/>
  <c r="O26" i="12"/>
  <c r="F33" i="12" s="1"/>
  <c r="D6" i="1"/>
  <c r="T6" i="23"/>
  <c r="AP6" i="1"/>
  <c r="AE26" i="12" l="1"/>
  <c r="L6" i="1"/>
  <c r="AH6" i="1" s="1"/>
  <c r="J6" i="1"/>
  <c r="AG6" i="1" s="1"/>
  <c r="H6" i="1"/>
  <c r="AF6" i="1" s="1"/>
  <c r="AT6" i="1"/>
  <c r="E6" i="1"/>
  <c r="F6" i="1" s="1"/>
  <c r="C6" i="2" s="1"/>
  <c r="C16" i="2" s="1"/>
  <c r="C6" i="1"/>
  <c r="G33" i="12" l="1"/>
  <c r="P40" i="12" s="1"/>
  <c r="O40" i="12"/>
  <c r="O43" i="12" s="1"/>
  <c r="AO6" i="1"/>
  <c r="AR6" i="1" s="1"/>
  <c r="AE6" i="1"/>
  <c r="C15" i="18" s="1"/>
  <c r="F11" i="1"/>
  <c r="O41" i="12" l="1"/>
  <c r="P43" i="12" s="1"/>
  <c r="AE40" i="12"/>
  <c r="D15" i="18"/>
  <c r="E15" i="18"/>
  <c r="AQ6" i="1"/>
  <c r="AS6" i="1"/>
  <c r="H4" i="2"/>
  <c r="E6" i="2"/>
  <c r="F6" i="2" s="1"/>
  <c r="G6" i="2" s="1"/>
  <c r="H6" i="2" s="1"/>
  <c r="I6" i="2" s="1"/>
  <c r="AE41" i="12" l="1"/>
  <c r="P41" i="12"/>
  <c r="AT2" i="1"/>
  <c r="AU2" i="1"/>
  <c r="AT12" i="1"/>
  <c r="G16" i="2"/>
  <c r="E16" i="2"/>
  <c r="F16" i="2"/>
  <c r="AE43" i="12" l="1"/>
  <c r="F37" i="12"/>
  <c r="H16" i="2"/>
  <c r="I16" i="2"/>
  <c r="G18" i="2" l="1"/>
  <c r="G37" i="12"/>
  <c r="I18" i="2"/>
  <c r="D24" i="25" s="1"/>
  <c r="H20" i="3" l="1"/>
  <c r="A20" i="17" s="1"/>
</calcChain>
</file>

<file path=xl/sharedStrings.xml><?xml version="1.0" encoding="utf-8"?>
<sst xmlns="http://schemas.openxmlformats.org/spreadsheetml/2006/main" count="598" uniqueCount="389">
  <si>
    <t>数量</t>
    <phoneticPr fontId="1"/>
  </si>
  <si>
    <t>差引事業費
(A)―(B)
（C）</t>
    <phoneticPr fontId="1"/>
  </si>
  <si>
    <t>合計</t>
    <rPh sb="0" eb="2">
      <t>ゴウケイ</t>
    </rPh>
    <phoneticPr fontId="1"/>
  </si>
  <si>
    <t>補助事業者名</t>
    <rPh sb="0" eb="2">
      <t>ホジョ</t>
    </rPh>
    <rPh sb="2" eb="4">
      <t>ジギョウ</t>
    </rPh>
    <rPh sb="4" eb="5">
      <t>シャ</t>
    </rPh>
    <rPh sb="5" eb="6">
      <t>メイ</t>
    </rPh>
    <phoneticPr fontId="1"/>
  </si>
  <si>
    <t>代表者氏名</t>
    <rPh sb="0" eb="3">
      <t>ダイヒョウシャ</t>
    </rPh>
    <rPh sb="3" eb="5">
      <t>シメイ</t>
    </rPh>
    <phoneticPr fontId="1"/>
  </si>
  <si>
    <t>　愛　知　県　知　事　殿</t>
    <phoneticPr fontId="1"/>
  </si>
  <si>
    <t>事業者名</t>
    <rPh sb="0" eb="3">
      <t>ジギョウシャ</t>
    </rPh>
    <rPh sb="3" eb="4">
      <t>メイ</t>
    </rPh>
    <phoneticPr fontId="1"/>
  </si>
  <si>
    <t>代表者役職</t>
    <rPh sb="0" eb="3">
      <t>ダイヒョウシャ</t>
    </rPh>
    <rPh sb="3" eb="5">
      <t>ヤクショク</t>
    </rPh>
    <phoneticPr fontId="1"/>
  </si>
  <si>
    <t>記</t>
    <rPh sb="0" eb="1">
      <t>キ</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</si>
  <si>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</si>
  <si>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</si>
  <si>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</si>
  <si>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</si>
  <si>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</si>
  <si>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phoneticPr fontId="1"/>
  </si>
  <si>
    <t>所在地</t>
    <rPh sb="0" eb="3">
      <t>ショザイチ</t>
    </rPh>
    <phoneticPr fontId="1"/>
  </si>
  <si>
    <t>数量</t>
    <rPh sb="0" eb="2">
      <t>スウリョウ</t>
    </rPh>
    <phoneticPr fontId="1"/>
  </si>
  <si>
    <t>歳入</t>
    <rPh sb="0" eb="2">
      <t>サイニュウ</t>
    </rPh>
    <phoneticPr fontId="4"/>
  </si>
  <si>
    <t>款</t>
    <rPh sb="0" eb="1">
      <t>カン</t>
    </rPh>
    <phoneticPr fontId="4"/>
  </si>
  <si>
    <t>項</t>
    <rPh sb="0" eb="1">
      <t>コウ</t>
    </rPh>
    <phoneticPr fontId="4"/>
  </si>
  <si>
    <t>目</t>
    <rPh sb="0" eb="1">
      <t>モク</t>
    </rPh>
    <phoneticPr fontId="4"/>
  </si>
  <si>
    <t>予算現額</t>
    <rPh sb="0" eb="2">
      <t>ヨサン</t>
    </rPh>
    <rPh sb="2" eb="3">
      <t>ウツツ</t>
    </rPh>
    <rPh sb="3" eb="4">
      <t>ガク</t>
    </rPh>
    <phoneticPr fontId="4"/>
  </si>
  <si>
    <t>節</t>
    <rPh sb="0" eb="1">
      <t>セツ</t>
    </rPh>
    <phoneticPr fontId="4"/>
  </si>
  <si>
    <t>備考</t>
    <rPh sb="0" eb="2">
      <t>ビコウ</t>
    </rPh>
    <phoneticPr fontId="4"/>
  </si>
  <si>
    <t>区分</t>
    <rPh sb="0" eb="2">
      <t>クブン</t>
    </rPh>
    <phoneticPr fontId="4"/>
  </si>
  <si>
    <t>金額</t>
    <rPh sb="0" eb="2">
      <t>キンガク</t>
    </rPh>
    <phoneticPr fontId="4"/>
  </si>
  <si>
    <t>歳出</t>
    <rPh sb="0" eb="2">
      <t>サイシュツ</t>
    </rPh>
    <phoneticPr fontId="4"/>
  </si>
  <si>
    <t>　　　原本と相違ないことを証明します。</t>
    <rPh sb="3" eb="5">
      <t>ゲンポン</t>
    </rPh>
    <rPh sb="6" eb="8">
      <t>ソウイ</t>
    </rPh>
    <rPh sb="13" eb="15">
      <t>ショウメイ</t>
    </rPh>
    <phoneticPr fontId="4"/>
  </si>
  <si>
    <t>代表者職氏名</t>
    <rPh sb="0" eb="3">
      <t>ダイヒョウシャ</t>
    </rPh>
    <rPh sb="3" eb="4">
      <t>ショク</t>
    </rPh>
    <rPh sb="4" eb="6">
      <t>シメイ</t>
    </rPh>
    <phoneticPr fontId="1"/>
  </si>
  <si>
    <t>１　施設の名称及び所在地</t>
    <phoneticPr fontId="1"/>
  </si>
  <si>
    <t>５　添付書類</t>
    <rPh sb="2" eb="4">
      <t>テンプ</t>
    </rPh>
    <rPh sb="4" eb="6">
      <t>ショルイ</t>
    </rPh>
    <phoneticPr fontId="1"/>
  </si>
  <si>
    <t>施設所在地</t>
    <rPh sb="0" eb="5">
      <t>シセツショザイチ</t>
    </rPh>
    <phoneticPr fontId="1"/>
  </si>
  <si>
    <t>(注）節の金額が他の事業を含む場合は、当該補助対象事業分を備考欄に記入すること。</t>
    <rPh sb="1" eb="2">
      <t>チュウ</t>
    </rPh>
    <rPh sb="3" eb="4">
      <t>セツ</t>
    </rPh>
    <rPh sb="5" eb="7">
      <t>キンガク</t>
    </rPh>
    <rPh sb="8" eb="9">
      <t>タ</t>
    </rPh>
    <rPh sb="10" eb="12">
      <t>ジギョウ</t>
    </rPh>
    <rPh sb="13" eb="14">
      <t>フク</t>
    </rPh>
    <rPh sb="15" eb="17">
      <t>バアイ</t>
    </rPh>
    <rPh sb="19" eb="21">
      <t>トウガイ</t>
    </rPh>
    <rPh sb="21" eb="23">
      <t>ホジョ</t>
    </rPh>
    <rPh sb="23" eb="25">
      <t>タイショウ</t>
    </rPh>
    <rPh sb="25" eb="27">
      <t>ジギョウ</t>
    </rPh>
    <rPh sb="27" eb="28">
      <t>ブン</t>
    </rPh>
    <rPh sb="29" eb="31">
      <t>ビコウ</t>
    </rPh>
    <rPh sb="31" eb="32">
      <t>ラン</t>
    </rPh>
    <rPh sb="33" eb="35">
      <t>キニュウ</t>
    </rPh>
    <phoneticPr fontId="4"/>
  </si>
  <si>
    <t>施設の名称</t>
    <rPh sb="0" eb="2">
      <t>シセツ</t>
    </rPh>
    <rPh sb="3" eb="5">
      <t>メイショウ</t>
    </rPh>
    <phoneticPr fontId="1"/>
  </si>
  <si>
    <t>品目</t>
    <rPh sb="1" eb="2">
      <t>モク</t>
    </rPh>
    <phoneticPr fontId="1"/>
  </si>
  <si>
    <t>金額</t>
    <phoneticPr fontId="1"/>
  </si>
  <si>
    <t>備考</t>
    <phoneticPr fontId="1"/>
  </si>
  <si>
    <t>品目</t>
    <rPh sb="0" eb="1">
      <t>ヒン</t>
    </rPh>
    <rPh sb="1" eb="2">
      <t>モク</t>
    </rPh>
    <phoneticPr fontId="1"/>
  </si>
  <si>
    <t>所　  在 　 地</t>
    <rPh sb="0" eb="1">
      <t>トコロ</t>
    </rPh>
    <rPh sb="4" eb="5">
      <t>ザイ</t>
    </rPh>
    <rPh sb="8" eb="9">
      <t>チ</t>
    </rPh>
    <phoneticPr fontId="1"/>
  </si>
  <si>
    <t>総事業費
(A)</t>
    <phoneticPr fontId="1"/>
  </si>
  <si>
    <t>規格（型式）</t>
    <phoneticPr fontId="1"/>
  </si>
  <si>
    <t>計</t>
    <rPh sb="0" eb="1">
      <t>ケイ</t>
    </rPh>
    <phoneticPr fontId="1"/>
  </si>
  <si>
    <t>単価（税込）</t>
    <rPh sb="3" eb="5">
      <t>ゼイコ</t>
    </rPh>
    <phoneticPr fontId="1"/>
  </si>
  <si>
    <t>判定</t>
    <rPh sb="0" eb="2">
      <t>ハンテイ</t>
    </rPh>
    <phoneticPr fontId="1"/>
  </si>
  <si>
    <t>単価(税抜)</t>
    <rPh sb="0" eb="2">
      <t>タンカ</t>
    </rPh>
    <rPh sb="3" eb="4">
      <t>ゼイ</t>
    </rPh>
    <rPh sb="4" eb="5">
      <t>ヌ</t>
    </rPh>
    <phoneticPr fontId="1"/>
  </si>
  <si>
    <t>→</t>
    <phoneticPr fontId="1"/>
  </si>
  <si>
    <t>令和</t>
  </si>
  <si>
    <t>令和</t>
    <rPh sb="0" eb="2">
      <t>レイワ</t>
    </rPh>
    <phoneticPr fontId="1"/>
  </si>
  <si>
    <t>年</t>
  </si>
  <si>
    <t>年</t>
    <rPh sb="0" eb="1">
      <t>ネン</t>
    </rPh>
    <phoneticPr fontId="1"/>
  </si>
  <si>
    <t>月</t>
  </si>
  <si>
    <t>月</t>
    <rPh sb="0" eb="1">
      <t>ツキ</t>
    </rPh>
    <phoneticPr fontId="1"/>
  </si>
  <si>
    <t>日</t>
  </si>
  <si>
    <t>日</t>
    <rPh sb="0" eb="1">
      <t>ヒ</t>
    </rPh>
    <phoneticPr fontId="1"/>
  </si>
  <si>
    <t>この
シート</t>
    <phoneticPr fontId="1"/>
  </si>
  <si>
    <t>氏　名</t>
    <rPh sb="0" eb="1">
      <t>シ</t>
    </rPh>
    <rPh sb="2" eb="3">
      <t>ナ</t>
    </rPh>
    <phoneticPr fontId="12"/>
  </si>
  <si>
    <t>担　当　者</t>
    <rPh sb="0" eb="1">
      <t>タン</t>
    </rPh>
    <rPh sb="2" eb="3">
      <t>トウ</t>
    </rPh>
    <rPh sb="4" eb="5">
      <t>モノ</t>
    </rPh>
    <phoneticPr fontId="12"/>
  </si>
  <si>
    <t>電話番号</t>
    <rPh sb="0" eb="1">
      <t>デン</t>
    </rPh>
    <rPh sb="1" eb="2">
      <t>ハナシ</t>
    </rPh>
    <rPh sb="2" eb="4">
      <t>バンゴウ</t>
    </rPh>
    <phoneticPr fontId="12"/>
  </si>
  <si>
    <t>メールアドレス</t>
  </si>
  <si>
    <t>金融機関コード</t>
    <rPh sb="0" eb="2">
      <t>キンユウ</t>
    </rPh>
    <rPh sb="2" eb="4">
      <t>キカン</t>
    </rPh>
    <phoneticPr fontId="4"/>
  </si>
  <si>
    <t>支店番号</t>
    <rPh sb="0" eb="2">
      <t>シテン</t>
    </rPh>
    <rPh sb="2" eb="4">
      <t>バンゴウ</t>
    </rPh>
    <phoneticPr fontId="4"/>
  </si>
  <si>
    <t>金融機関名</t>
    <rPh sb="0" eb="2">
      <t>キンユウ</t>
    </rPh>
    <rPh sb="2" eb="4">
      <t>キカン</t>
    </rPh>
    <rPh sb="4" eb="5">
      <t>メイ</t>
    </rPh>
    <phoneticPr fontId="4"/>
  </si>
  <si>
    <t>店　名</t>
    <rPh sb="0" eb="1">
      <t>ミセ</t>
    </rPh>
    <rPh sb="2" eb="3">
      <t>ナ</t>
    </rPh>
    <phoneticPr fontId="4"/>
  </si>
  <si>
    <t>預金種類</t>
    <rPh sb="0" eb="2">
      <t>ヨキン</t>
    </rPh>
    <rPh sb="2" eb="4">
      <t>シュルイ</t>
    </rPh>
    <phoneticPr fontId="4"/>
  </si>
  <si>
    <t>口座番号</t>
    <rPh sb="0" eb="2">
      <t>コウザ</t>
    </rPh>
    <rPh sb="2" eb="4">
      <t>バンゴウ</t>
    </rPh>
    <phoneticPr fontId="4"/>
  </si>
  <si>
    <t>口座名義（ｶﾅ）</t>
    <rPh sb="0" eb="2">
      <t>コウザ</t>
    </rPh>
    <rPh sb="2" eb="4">
      <t>メイギ</t>
    </rPh>
    <phoneticPr fontId="12"/>
  </si>
  <si>
    <r>
      <t>　　※口座名義（カナ）：</t>
    </r>
    <r>
      <rPr>
        <b/>
        <u val="double"/>
        <sz val="14"/>
        <color rgb="FFFF0000"/>
        <rFont val="游ゴシック"/>
        <family val="3"/>
        <charset val="128"/>
        <scheme val="minor"/>
      </rPr>
      <t>通帳の見開き等に記載されているカタカナの名義</t>
    </r>
    <r>
      <rPr>
        <b/>
        <sz val="14"/>
        <color rgb="FFFF0000"/>
        <rFont val="游ゴシック"/>
        <family val="3"/>
        <charset val="128"/>
        <scheme val="minor"/>
      </rPr>
      <t>をスペースを含め正確に記載してください。</t>
    </r>
    <rPh sb="3" eb="5">
      <t>コウザ</t>
    </rPh>
    <rPh sb="5" eb="7">
      <t>メイギ</t>
    </rPh>
    <rPh sb="12" eb="14">
      <t>ツウチョウ</t>
    </rPh>
    <rPh sb="15" eb="17">
      <t>ミヒラ</t>
    </rPh>
    <rPh sb="18" eb="19">
      <t>トウ</t>
    </rPh>
    <rPh sb="20" eb="22">
      <t>キサイ</t>
    </rPh>
    <rPh sb="32" eb="34">
      <t>メイギ</t>
    </rPh>
    <rPh sb="40" eb="41">
      <t>フク</t>
    </rPh>
    <rPh sb="42" eb="44">
      <t>セイカク</t>
    </rPh>
    <rPh sb="45" eb="47">
      <t>キサイ</t>
    </rPh>
    <phoneticPr fontId="12"/>
  </si>
  <si>
    <t>以下のとおりです。</t>
    <phoneticPr fontId="1"/>
  </si>
  <si>
    <t>総合</t>
    <rPh sb="0" eb="2">
      <t>ソウゴウ</t>
    </rPh>
    <phoneticPr fontId="1"/>
  </si>
  <si>
    <r>
      <t>振込先情報</t>
    </r>
    <r>
      <rPr>
        <b/>
        <sz val="12"/>
        <color rgb="FFFF0000"/>
        <rFont val="游ゴシック"/>
        <family val="3"/>
        <charset val="128"/>
        <scheme val="minor"/>
      </rPr>
      <t>※2</t>
    </r>
    <rPh sb="0" eb="3">
      <t>フリコミサキ</t>
    </rPh>
    <rPh sb="3" eb="5">
      <t>ジョウホウ</t>
    </rPh>
    <phoneticPr fontId="12"/>
  </si>
  <si>
    <t>コメント</t>
    <phoneticPr fontId="1"/>
  </si>
  <si>
    <t>総合判定</t>
    <rPh sb="0" eb="2">
      <t>ソウゴウ</t>
    </rPh>
    <rPh sb="2" eb="4">
      <t>ハンテイ</t>
    </rPh>
    <phoneticPr fontId="1"/>
  </si>
  <si>
    <t>判定</t>
    <rPh sb="0" eb="2">
      <t>ハンテイ</t>
    </rPh>
    <phoneticPr fontId="1"/>
  </si>
  <si>
    <t>総合判定</t>
    <rPh sb="0" eb="2">
      <t>ソウゴウ</t>
    </rPh>
    <rPh sb="2" eb="4">
      <t>ハンテイ</t>
    </rPh>
    <phoneticPr fontId="1"/>
  </si>
  <si>
    <t>コメント</t>
    <phoneticPr fontId="1"/>
  </si>
  <si>
    <t>電話番号（担当直通）</t>
    <rPh sb="0" eb="2">
      <t>デンワ</t>
    </rPh>
    <rPh sb="2" eb="4">
      <t>バンゴウ</t>
    </rPh>
    <rPh sb="5" eb="7">
      <t>タントウ</t>
    </rPh>
    <rPh sb="7" eb="9">
      <t>チョクツウ</t>
    </rPh>
    <phoneticPr fontId="1"/>
  </si>
  <si>
    <t>Mailｱﾄﾞﾚｽ（担当直通）</t>
    <rPh sb="10" eb="12">
      <t>タントウ</t>
    </rPh>
    <rPh sb="12" eb="14">
      <t>チョクツウ</t>
    </rPh>
    <phoneticPr fontId="1"/>
  </si>
  <si>
    <t>法人・個人事業主の別</t>
    <rPh sb="0" eb="2">
      <t>ホウジン</t>
    </rPh>
    <rPh sb="3" eb="5">
      <t>コジン</t>
    </rPh>
    <rPh sb="5" eb="8">
      <t>ジギョウヌシ</t>
    </rPh>
    <rPh sb="9" eb="10">
      <t>ベツ</t>
    </rPh>
    <phoneticPr fontId="1"/>
  </si>
  <si>
    <t>　　　法人（医療法人等）</t>
    <rPh sb="3" eb="5">
      <t>ホウジン</t>
    </rPh>
    <rPh sb="6" eb="8">
      <t>イリョウ</t>
    </rPh>
    <rPh sb="8" eb="10">
      <t>ホウジン</t>
    </rPh>
    <rPh sb="10" eb="11">
      <t>トウ</t>
    </rPh>
    <phoneticPr fontId="1"/>
  </si>
  <si>
    <t>　　　個人事業主（法人ではない）</t>
    <rPh sb="3" eb="5">
      <t>コジン</t>
    </rPh>
    <rPh sb="5" eb="7">
      <t>ジギョウ</t>
    </rPh>
    <rPh sb="7" eb="8">
      <t>ヌシ</t>
    </rPh>
    <rPh sb="9" eb="11">
      <t>ホウジン</t>
    </rPh>
    <phoneticPr fontId="1"/>
  </si>
  <si>
    <t>入力判定</t>
    <rPh sb="0" eb="2">
      <t>ニュウリョク</t>
    </rPh>
    <rPh sb="2" eb="4">
      <t>ハンテイ</t>
    </rPh>
    <phoneticPr fontId="1"/>
  </si>
  <si>
    <t>記入項目</t>
    <rPh sb="0" eb="2">
      <t>キニュウ</t>
    </rPh>
    <rPh sb="2" eb="4">
      <t>コウモク</t>
    </rPh>
    <phoneticPr fontId="1"/>
  </si>
  <si>
    <t>記入欄</t>
    <rPh sb="0" eb="2">
      <t>キニュウ</t>
    </rPh>
    <rPh sb="2" eb="3">
      <t>ラン</t>
    </rPh>
    <phoneticPr fontId="1"/>
  </si>
  <si>
    <t>令和</t>
    <rPh sb="0" eb="2">
      <t>レイワ</t>
    </rPh>
    <phoneticPr fontId="1"/>
  </si>
  <si>
    <t>日</t>
    <rPh sb="0" eb="1">
      <t>ニチ</t>
    </rPh>
    <phoneticPr fontId="1"/>
  </si>
  <si>
    <t>○</t>
  </si>
  <si>
    <t>○</t>
    <phoneticPr fontId="1"/>
  </si>
  <si>
    <t>書類名称</t>
    <rPh sb="0" eb="2">
      <t>ショルイ</t>
    </rPh>
    <rPh sb="2" eb="4">
      <t>メイショウ</t>
    </rPh>
    <phoneticPr fontId="1"/>
  </si>
  <si>
    <t>はじめに入力してください</t>
    <rPh sb="4" eb="6">
      <t>ニュウリョク</t>
    </rPh>
    <phoneticPr fontId="1"/>
  </si>
  <si>
    <t>【必須】</t>
    <rPh sb="1" eb="3">
      <t>ヒッス</t>
    </rPh>
    <phoneticPr fontId="1"/>
  </si>
  <si>
    <t>公立医療機関の場合のみ</t>
    <rPh sb="0" eb="2">
      <t>コウリツ</t>
    </rPh>
    <rPh sb="2" eb="4">
      <t>イリョウ</t>
    </rPh>
    <rPh sb="4" eb="6">
      <t>キカン</t>
    </rPh>
    <rPh sb="7" eb="9">
      <t>バアイ</t>
    </rPh>
    <phoneticPr fontId="1"/>
  </si>
  <si>
    <t>入力の要否</t>
    <rPh sb="0" eb="2">
      <t>ニュウリョク</t>
    </rPh>
    <rPh sb="3" eb="5">
      <t>ヨウヒ</t>
    </rPh>
    <phoneticPr fontId="1"/>
  </si>
  <si>
    <t>補助金以外で事業に充当する寄付金その他の収入がある場合は入力してください。
（ない場合は入力は不要です。）</t>
    <rPh sb="0" eb="3">
      <t>ホジョキン</t>
    </rPh>
    <rPh sb="3" eb="5">
      <t>イガイ</t>
    </rPh>
    <rPh sb="6" eb="8">
      <t>ジギョウ</t>
    </rPh>
    <rPh sb="9" eb="11">
      <t>ジュウトウ</t>
    </rPh>
    <rPh sb="25" eb="27">
      <t>バアイ</t>
    </rPh>
    <rPh sb="28" eb="30">
      <t>ニュウリョク</t>
    </rPh>
    <rPh sb="41" eb="43">
      <t>バアイ</t>
    </rPh>
    <rPh sb="44" eb="46">
      <t>ニュウリョク</t>
    </rPh>
    <rPh sb="47" eb="49">
      <t>フヨウ</t>
    </rPh>
    <phoneticPr fontId="1"/>
  </si>
  <si>
    <t>総合判定</t>
    <rPh sb="0" eb="2">
      <t>ソウゴウ</t>
    </rPh>
    <rPh sb="2" eb="4">
      <t>ハンテイ</t>
    </rPh>
    <phoneticPr fontId="1"/>
  </si>
  <si>
    <t>　　　公立医療機関</t>
    <rPh sb="3" eb="5">
      <t>コウリツ</t>
    </rPh>
    <rPh sb="5" eb="7">
      <t>イリョウ</t>
    </rPh>
    <rPh sb="7" eb="9">
      <t>キカン</t>
    </rPh>
    <phoneticPr fontId="1"/>
  </si>
  <si>
    <t>申立事項
申請内容が右記事項と相違ないことを確認し、「申立てする」を選択してください。</t>
    <rPh sb="0" eb="2">
      <t>モウシタテ</t>
    </rPh>
    <rPh sb="2" eb="4">
      <t>ジコウ</t>
    </rPh>
    <rPh sb="5" eb="7">
      <t>シンセイ</t>
    </rPh>
    <rPh sb="7" eb="9">
      <t>ナイヨウ</t>
    </rPh>
    <rPh sb="10" eb="12">
      <t>ウキ</t>
    </rPh>
    <rPh sb="12" eb="14">
      <t>ジコウ</t>
    </rPh>
    <rPh sb="15" eb="17">
      <t>ソウイ</t>
    </rPh>
    <rPh sb="22" eb="24">
      <t>カクニン</t>
    </rPh>
    <rPh sb="27" eb="28">
      <t>モウ</t>
    </rPh>
    <rPh sb="28" eb="29">
      <t>タ</t>
    </rPh>
    <rPh sb="34" eb="36">
      <t>センタク</t>
    </rPh>
    <phoneticPr fontId="1"/>
  </si>
  <si>
    <t>申立てする</t>
    <rPh sb="0" eb="2">
      <t>モウシタテ</t>
    </rPh>
    <phoneticPr fontId="1"/>
  </si>
  <si>
    <t>申し立てしない</t>
    <rPh sb="0" eb="1">
      <t>モウ</t>
    </rPh>
    <rPh sb="2" eb="3">
      <t>タ</t>
    </rPh>
    <phoneticPr fontId="1"/>
  </si>
  <si>
    <t>歳入</t>
    <rPh sb="0" eb="2">
      <t>サイニュウ</t>
    </rPh>
    <phoneticPr fontId="1"/>
  </si>
  <si>
    <t>歳出</t>
    <rPh sb="0" eb="2">
      <t>サイシュツ</t>
    </rPh>
    <phoneticPr fontId="1"/>
  </si>
  <si>
    <t>入力区分</t>
    <rPh sb="0" eb="2">
      <t>ニュウリョク</t>
    </rPh>
    <rPh sb="2" eb="4">
      <t>クブン</t>
    </rPh>
    <phoneticPr fontId="1"/>
  </si>
  <si>
    <t>（任意）文書を発出する際に文書番号が必要である場合は入力してください</t>
    <phoneticPr fontId="1"/>
  </si>
  <si>
    <t>交付申請</t>
    <rPh sb="0" eb="2">
      <t>コウフ</t>
    </rPh>
    <rPh sb="2" eb="4">
      <t>シンセイ</t>
    </rPh>
    <phoneticPr fontId="1"/>
  </si>
  <si>
    <t>実績報告</t>
    <rPh sb="0" eb="2">
      <t>ジッセキ</t>
    </rPh>
    <rPh sb="2" eb="4">
      <t>ホウコク</t>
    </rPh>
    <phoneticPr fontId="1"/>
  </si>
  <si>
    <t>変更申請</t>
    <rPh sb="0" eb="2">
      <t>ヘンコウ</t>
    </rPh>
    <rPh sb="2" eb="4">
      <t>シンセイ</t>
    </rPh>
    <phoneticPr fontId="1"/>
  </si>
  <si>
    <t>↘</t>
    <phoneticPr fontId="1"/>
  </si>
  <si>
    <t>その他</t>
    <rPh sb="2" eb="3">
      <t>タ</t>
    </rPh>
    <phoneticPr fontId="1"/>
  </si>
  <si>
    <t>交付決定日</t>
    <rPh sb="0" eb="2">
      <t>コウフ</t>
    </rPh>
    <rPh sb="2" eb="4">
      <t>ケッテイ</t>
    </rPh>
    <rPh sb="4" eb="5">
      <t>ビ</t>
    </rPh>
    <phoneticPr fontId="1"/>
  </si>
  <si>
    <t>国事業完了日</t>
    <rPh sb="0" eb="1">
      <t>クニ</t>
    </rPh>
    <rPh sb="1" eb="3">
      <t>ジギョウ</t>
    </rPh>
    <rPh sb="3" eb="5">
      <t>カンリョウ</t>
    </rPh>
    <rPh sb="5" eb="6">
      <t>ビ</t>
    </rPh>
    <phoneticPr fontId="1"/>
  </si>
  <si>
    <t>補助事業者名</t>
    <rPh sb="0" eb="2">
      <t>ホジョ</t>
    </rPh>
    <rPh sb="2" eb="4">
      <t>ジギョウ</t>
    </rPh>
    <rPh sb="4" eb="5">
      <t>シャ</t>
    </rPh>
    <rPh sb="5" eb="6">
      <t>メイ</t>
    </rPh>
    <phoneticPr fontId="4"/>
  </si>
  <si>
    <t>代表者職氏名</t>
    <rPh sb="0" eb="3">
      <t>ダイヒョウシャ</t>
    </rPh>
    <rPh sb="3" eb="4">
      <t>ショク</t>
    </rPh>
    <rPh sb="4" eb="6">
      <t>シメイ</t>
    </rPh>
    <phoneticPr fontId="4"/>
  </si>
  <si>
    <t>交付申請（２次以降）</t>
    <rPh sb="0" eb="2">
      <t>コウフ</t>
    </rPh>
    <rPh sb="2" eb="4">
      <t>シンセイ</t>
    </rPh>
    <rPh sb="6" eb="7">
      <t>ジ</t>
    </rPh>
    <rPh sb="7" eb="9">
      <t>イコウ</t>
    </rPh>
    <phoneticPr fontId="1"/>
  </si>
  <si>
    <t>無</t>
    <rPh sb="0" eb="1">
      <t>ナ</t>
    </rPh>
    <phoneticPr fontId="1"/>
  </si>
  <si>
    <t>振込先口座名義（半角ｶﾅ）</t>
    <rPh sb="3" eb="5">
      <t>コウザ</t>
    </rPh>
    <rPh sb="5" eb="7">
      <t>メイギ</t>
    </rPh>
    <rPh sb="8" eb="10">
      <t>ハンカク</t>
    </rPh>
    <phoneticPr fontId="1"/>
  </si>
  <si>
    <t>金融機関名</t>
    <rPh sb="0" eb="2">
      <t>キンユウ</t>
    </rPh>
    <rPh sb="2" eb="4">
      <t>キカン</t>
    </rPh>
    <rPh sb="4" eb="5">
      <t>メイ</t>
    </rPh>
    <phoneticPr fontId="1"/>
  </si>
  <si>
    <t>申請者情報</t>
    <rPh sb="0" eb="3">
      <t>シンセイシャ</t>
    </rPh>
    <rPh sb="3" eb="5">
      <t>ジョウホウ</t>
    </rPh>
    <phoneticPr fontId="1"/>
  </si>
  <si>
    <t>振込先情報</t>
    <rPh sb="0" eb="3">
      <t>フリコミサキ</t>
    </rPh>
    <rPh sb="3" eb="5">
      <t>ジョウホウ</t>
    </rPh>
    <phoneticPr fontId="1"/>
  </si>
  <si>
    <t>申立て</t>
    <rPh sb="0" eb="1">
      <t>モウ</t>
    </rPh>
    <rPh sb="1" eb="2">
      <t>リツ</t>
    </rPh>
    <phoneticPr fontId="1"/>
  </si>
  <si>
    <t>店名</t>
    <rPh sb="0" eb="2">
      <t>テンメイ</t>
    </rPh>
    <phoneticPr fontId="1"/>
  </si>
  <si>
    <t>預金種類</t>
    <rPh sb="0" eb="2">
      <t>ヨキン</t>
    </rPh>
    <rPh sb="2" eb="4">
      <t>シュルイ</t>
    </rPh>
    <phoneticPr fontId="1"/>
  </si>
  <si>
    <t>口座番号</t>
    <rPh sb="0" eb="2">
      <t>コウザ</t>
    </rPh>
    <rPh sb="2" eb="4">
      <t>バンゴウ</t>
    </rPh>
    <phoneticPr fontId="1"/>
  </si>
  <si>
    <t>【補助要件】</t>
    <rPh sb="1" eb="3">
      <t>ホジョ</t>
    </rPh>
    <rPh sb="3" eb="5">
      <t>ヨウケン</t>
    </rPh>
    <phoneticPr fontId="1"/>
  </si>
  <si>
    <t>②</t>
    <phoneticPr fontId="1"/>
  </si>
  <si>
    <t>①</t>
    <phoneticPr fontId="1"/>
  </si>
  <si>
    <t>単価(税込)</t>
    <rPh sb="0" eb="2">
      <t>タンカ</t>
    </rPh>
    <rPh sb="3" eb="5">
      <t>ゼイコ</t>
    </rPh>
    <phoneticPr fontId="1"/>
  </si>
  <si>
    <t>金額(税込)</t>
    <rPh sb="0" eb="2">
      <t>キンガク</t>
    </rPh>
    <rPh sb="3" eb="5">
      <t>ゼイコ</t>
    </rPh>
    <phoneticPr fontId="1"/>
  </si>
  <si>
    <t>設置場所</t>
    <rPh sb="0" eb="2">
      <t>セッチ</t>
    </rPh>
    <rPh sb="2" eb="4">
      <t>バショ</t>
    </rPh>
    <phoneticPr fontId="1"/>
  </si>
  <si>
    <t>院内診療スペース</t>
    <rPh sb="0" eb="2">
      <t>インナイ</t>
    </rPh>
    <rPh sb="2" eb="4">
      <t>シンリョウ</t>
    </rPh>
    <phoneticPr fontId="1"/>
  </si>
  <si>
    <t>簡易診療室</t>
    <rPh sb="0" eb="2">
      <t>カンイ</t>
    </rPh>
    <rPh sb="2" eb="5">
      <t>シンリョウシツ</t>
    </rPh>
    <phoneticPr fontId="1"/>
  </si>
  <si>
    <t>判定</t>
    <rPh sb="0" eb="2">
      <t>ハンテイ</t>
    </rPh>
    <phoneticPr fontId="1"/>
  </si>
  <si>
    <t>コメント</t>
    <phoneticPr fontId="1"/>
  </si>
  <si>
    <t>品名</t>
    <rPh sb="0" eb="2">
      <t>ヒンメイ</t>
    </rPh>
    <phoneticPr fontId="1"/>
  </si>
  <si>
    <t>総合
判定</t>
    <rPh sb="0" eb="2">
      <t>ソウゴウ</t>
    </rPh>
    <rPh sb="3" eb="5">
      <t>ハンテイ</t>
    </rPh>
    <phoneticPr fontId="1"/>
  </si>
  <si>
    <t>明細</t>
    <rPh sb="0" eb="2">
      <t>メイサイ</t>
    </rPh>
    <phoneticPr fontId="1"/>
  </si>
  <si>
    <t>選定額</t>
    <rPh sb="0" eb="2">
      <t>センテイ</t>
    </rPh>
    <rPh sb="2" eb="3">
      <t>ガク</t>
    </rPh>
    <phoneticPr fontId="1"/>
  </si>
  <si>
    <t>コメント</t>
    <phoneticPr fontId="1"/>
  </si>
  <si>
    <t>変更申請期間（起）</t>
    <rPh sb="0" eb="2">
      <t>ヘンコウ</t>
    </rPh>
    <rPh sb="2" eb="4">
      <t>シンセイ</t>
    </rPh>
    <rPh sb="4" eb="6">
      <t>キカン</t>
    </rPh>
    <rPh sb="7" eb="8">
      <t>オ</t>
    </rPh>
    <phoneticPr fontId="1"/>
  </si>
  <si>
    <t>変更申請期間（終）</t>
    <rPh sb="0" eb="2">
      <t>ヘンコウ</t>
    </rPh>
    <rPh sb="2" eb="4">
      <t>シンセイ</t>
    </rPh>
    <rPh sb="4" eb="6">
      <t>キカン</t>
    </rPh>
    <rPh sb="7" eb="8">
      <t>オ</t>
    </rPh>
    <phoneticPr fontId="1"/>
  </si>
  <si>
    <t>受付（起）</t>
    <rPh sb="0" eb="2">
      <t>ウケツケ</t>
    </rPh>
    <phoneticPr fontId="1"/>
  </si>
  <si>
    <t>受付（終）</t>
    <rPh sb="0" eb="2">
      <t>ウケツケ</t>
    </rPh>
    <phoneticPr fontId="1"/>
  </si>
  <si>
    <t>《以下の品目を申請する場合は、設置場所がわかる図面、購入品目の規格等がわかるカタログ及び見積書を提出すること。》</t>
    <rPh sb="1" eb="3">
      <t>イカ</t>
    </rPh>
    <rPh sb="4" eb="6">
      <t>ヒンモク</t>
    </rPh>
    <rPh sb="7" eb="9">
      <t>シンセイ</t>
    </rPh>
    <rPh sb="11" eb="13">
      <t>バアイ</t>
    </rPh>
    <rPh sb="15" eb="17">
      <t>セッチ</t>
    </rPh>
    <rPh sb="17" eb="19">
      <t>バショ</t>
    </rPh>
    <rPh sb="23" eb="25">
      <t>ズメン</t>
    </rPh>
    <rPh sb="26" eb="28">
      <t>コウニュウ</t>
    </rPh>
    <rPh sb="28" eb="30">
      <t>ヒンモク</t>
    </rPh>
    <rPh sb="31" eb="33">
      <t>キカク</t>
    </rPh>
    <rPh sb="33" eb="34">
      <t>トウ</t>
    </rPh>
    <rPh sb="42" eb="43">
      <t>オヨ</t>
    </rPh>
    <rPh sb="44" eb="47">
      <t>ミツモリショ</t>
    </rPh>
    <rPh sb="48" eb="50">
      <t>テイシュツ</t>
    </rPh>
    <phoneticPr fontId="1"/>
  </si>
  <si>
    <t>年</t>
    <rPh sb="0" eb="1">
      <t>ネン</t>
    </rPh>
    <phoneticPr fontId="1"/>
  </si>
  <si>
    <t>月</t>
    <rPh sb="0" eb="1">
      <t>ツキ</t>
    </rPh>
    <phoneticPr fontId="1"/>
  </si>
  <si>
    <t>日</t>
    <rPh sb="0" eb="1">
      <t>ヒ</t>
    </rPh>
    <phoneticPr fontId="1"/>
  </si>
  <si>
    <t>項目</t>
    <rPh sb="0" eb="2">
      <t>コウモク</t>
    </rPh>
    <phoneticPr fontId="1"/>
  </si>
  <si>
    <t>国事業開始日</t>
    <rPh sb="0" eb="1">
      <t>クニ</t>
    </rPh>
    <rPh sb="1" eb="3">
      <t>ジギョウ</t>
    </rPh>
    <rPh sb="3" eb="5">
      <t>カイシ</t>
    </rPh>
    <rPh sb="5" eb="6">
      <t>ビ</t>
    </rPh>
    <phoneticPr fontId="1"/>
  </si>
  <si>
    <t>提出日（年度）</t>
    <rPh sb="0" eb="2">
      <t>テイシュツ</t>
    </rPh>
    <rPh sb="2" eb="3">
      <t>ビ</t>
    </rPh>
    <rPh sb="4" eb="6">
      <t>ネンド</t>
    </rPh>
    <phoneticPr fontId="1"/>
  </si>
  <si>
    <r>
      <t>１．はじめに
　　今回申請するにあたり、以下の記入欄に必要事項を入力してください。
　　→　記入欄右の「判定」が全て「○」となり、</t>
    </r>
    <r>
      <rPr>
        <b/>
        <u/>
        <sz val="10"/>
        <color rgb="FFFF0000"/>
        <rFont val="游ゴシック"/>
        <family val="3"/>
        <charset val="128"/>
        <scheme val="minor"/>
      </rPr>
      <t>赤表示が全て白表示に変われば入力完了</t>
    </r>
    <r>
      <rPr>
        <b/>
        <sz val="10"/>
        <color theme="1"/>
        <rFont val="游ゴシック"/>
        <family val="3"/>
        <charset val="128"/>
        <scheme val="minor"/>
      </rPr>
      <t>です。
　　→　記載不十分等の箇所はコメント欄を参照ください。
　　こちらで入力した内容はその後に入力いただく各種様式の必要記載部分に反映されます。</t>
    </r>
    <rPh sb="9" eb="11">
      <t>コンカイ</t>
    </rPh>
    <rPh sb="11" eb="13">
      <t>シンセイ</t>
    </rPh>
    <rPh sb="20" eb="22">
      <t>イカ</t>
    </rPh>
    <rPh sb="23" eb="26">
      <t>キニュウラン</t>
    </rPh>
    <rPh sb="27" eb="29">
      <t>ヒツヨウ</t>
    </rPh>
    <rPh sb="29" eb="31">
      <t>ジコウ</t>
    </rPh>
    <rPh sb="32" eb="34">
      <t>ニュウリョク</t>
    </rPh>
    <rPh sb="46" eb="49">
      <t>キニュウラン</t>
    </rPh>
    <rPh sb="49" eb="50">
      <t>ミギ</t>
    </rPh>
    <rPh sb="52" eb="54">
      <t>ハンテイ</t>
    </rPh>
    <rPh sb="56" eb="57">
      <t>スベ</t>
    </rPh>
    <rPh sb="65" eb="66">
      <t>アカ</t>
    </rPh>
    <rPh sb="66" eb="68">
      <t>ヒョウジ</t>
    </rPh>
    <rPh sb="69" eb="70">
      <t>スベ</t>
    </rPh>
    <rPh sb="71" eb="72">
      <t>シロ</t>
    </rPh>
    <rPh sb="72" eb="74">
      <t>ヒョウジ</t>
    </rPh>
    <rPh sb="75" eb="76">
      <t>カ</t>
    </rPh>
    <rPh sb="79" eb="81">
      <t>ニュウリョク</t>
    </rPh>
    <rPh sb="81" eb="83">
      <t>カンリョウ</t>
    </rPh>
    <rPh sb="91" eb="93">
      <t>キサイ</t>
    </rPh>
    <rPh sb="93" eb="96">
      <t>フジュウブン</t>
    </rPh>
    <rPh sb="96" eb="97">
      <t>トウ</t>
    </rPh>
    <rPh sb="98" eb="100">
      <t>カショ</t>
    </rPh>
    <rPh sb="105" eb="106">
      <t>ラン</t>
    </rPh>
    <rPh sb="107" eb="109">
      <t>サンショウ</t>
    </rPh>
    <rPh sb="121" eb="123">
      <t>ニュウリョク</t>
    </rPh>
    <rPh sb="125" eb="127">
      <t>ナイヨウ</t>
    </rPh>
    <rPh sb="130" eb="131">
      <t>ゴ</t>
    </rPh>
    <rPh sb="132" eb="134">
      <t>ニュウリョク</t>
    </rPh>
    <rPh sb="138" eb="140">
      <t>カクシュ</t>
    </rPh>
    <rPh sb="140" eb="142">
      <t>ヨウシキ</t>
    </rPh>
    <rPh sb="143" eb="145">
      <t>ヒツヨウ</t>
    </rPh>
    <rPh sb="145" eb="147">
      <t>キサイ</t>
    </rPh>
    <rPh sb="147" eb="149">
      <t>ブブン</t>
    </rPh>
    <rPh sb="150" eb="152">
      <t>ハンエイ</t>
    </rPh>
    <phoneticPr fontId="1"/>
  </si>
  <si>
    <r>
      <t>２．各種様式の入力について
　　上記「１．はじめに」を入力後、関係の様式に必要情報を入力いただきます。
　　下の表は、それぞれの様式で必要情報が適切に入力されているか否かの表示がされるようにされています。
　　作成にあたっての参考としていただき、</t>
    </r>
    <r>
      <rPr>
        <b/>
        <u/>
        <sz val="10"/>
        <color rgb="FFFF0000"/>
        <rFont val="游ゴシック"/>
        <family val="3"/>
        <charset val="128"/>
        <scheme val="minor"/>
      </rPr>
      <t>提出にあたっては「総合判定」が「○」になっていることを必ず確認</t>
    </r>
    <r>
      <rPr>
        <b/>
        <sz val="10"/>
        <color theme="1"/>
        <rFont val="游ゴシック"/>
        <family val="3"/>
        <charset val="128"/>
        <scheme val="minor"/>
      </rPr>
      <t>してください。</t>
    </r>
    <rPh sb="2" eb="4">
      <t>カクシュ</t>
    </rPh>
    <rPh sb="4" eb="6">
      <t>ヨウシキ</t>
    </rPh>
    <rPh sb="7" eb="9">
      <t>ニュウリョク</t>
    </rPh>
    <rPh sb="16" eb="18">
      <t>ジョウキ</t>
    </rPh>
    <rPh sb="27" eb="29">
      <t>ニュウリョク</t>
    </rPh>
    <rPh sb="29" eb="30">
      <t>ゴ</t>
    </rPh>
    <rPh sb="31" eb="33">
      <t>カンケイ</t>
    </rPh>
    <rPh sb="34" eb="36">
      <t>ヨウシキ</t>
    </rPh>
    <rPh sb="37" eb="39">
      <t>ヒツヨウ</t>
    </rPh>
    <rPh sb="39" eb="41">
      <t>ジョウホウ</t>
    </rPh>
    <rPh sb="42" eb="44">
      <t>ニュウリョク</t>
    </rPh>
    <rPh sb="54" eb="55">
      <t>シタ</t>
    </rPh>
    <rPh sb="56" eb="57">
      <t>ヒョウ</t>
    </rPh>
    <rPh sb="64" eb="66">
      <t>ヨウシキ</t>
    </rPh>
    <rPh sb="67" eb="69">
      <t>ヒツヨウ</t>
    </rPh>
    <rPh sb="69" eb="71">
      <t>ジョウホウ</t>
    </rPh>
    <rPh sb="72" eb="74">
      <t>テキセツ</t>
    </rPh>
    <rPh sb="75" eb="77">
      <t>ニュウリョク</t>
    </rPh>
    <rPh sb="83" eb="84">
      <t>イナ</t>
    </rPh>
    <rPh sb="86" eb="88">
      <t>ヒョウジ</t>
    </rPh>
    <rPh sb="105" eb="107">
      <t>サクセイ</t>
    </rPh>
    <rPh sb="113" eb="115">
      <t>サンコウ</t>
    </rPh>
    <rPh sb="123" eb="125">
      <t>テイシュツ</t>
    </rPh>
    <rPh sb="132" eb="134">
      <t>ソウゴウ</t>
    </rPh>
    <rPh sb="134" eb="136">
      <t>ハンテイ</t>
    </rPh>
    <rPh sb="150" eb="151">
      <t>カナラ</t>
    </rPh>
    <rPh sb="152" eb="154">
      <t>カクニン</t>
    </rPh>
    <phoneticPr fontId="1"/>
  </si>
  <si>
    <t>転記用</t>
    <rPh sb="0" eb="2">
      <t>テンキ</t>
    </rPh>
    <rPh sb="2" eb="3">
      <t>ヨウ</t>
    </rPh>
    <phoneticPr fontId="1"/>
  </si>
  <si>
    <t>―</t>
    <phoneticPr fontId="1"/>
  </si>
  <si>
    <t xml:space="preserve">― </t>
    <phoneticPr fontId="1"/>
  </si>
  <si>
    <t>不備の点</t>
    <rPh sb="0" eb="2">
      <t>フビ</t>
    </rPh>
    <rPh sb="3" eb="4">
      <t>テン</t>
    </rPh>
    <phoneticPr fontId="1"/>
  </si>
  <si>
    <t>申立事項</t>
    <rPh sb="0" eb="2">
      <t>モウシタ</t>
    </rPh>
    <rPh sb="2" eb="4">
      <t>ジコウ</t>
    </rPh>
    <phoneticPr fontId="1"/>
  </si>
  <si>
    <t>総合</t>
    <rPh sb="0" eb="2">
      <t>ソウゴウ</t>
    </rPh>
    <phoneticPr fontId="1"/>
  </si>
  <si>
    <t>事業完了（予定）日</t>
    <phoneticPr fontId="1"/>
  </si>
  <si>
    <t>振込先通帳写し　貼り付け用台紙
令和5年度　新型コロナウイルス感染症外来対応医療機関確保事業費補助金</t>
    <rPh sb="0" eb="3">
      <t>フリコミサキ</t>
    </rPh>
    <rPh sb="3" eb="5">
      <t>ツウチョウ</t>
    </rPh>
    <rPh sb="5" eb="6">
      <t>ウツ</t>
    </rPh>
    <rPh sb="8" eb="9">
      <t>ハ</t>
    </rPh>
    <rPh sb="10" eb="11">
      <t>ツ</t>
    </rPh>
    <rPh sb="12" eb="13">
      <t>ヨウ</t>
    </rPh>
    <rPh sb="13" eb="15">
      <t>ダイシ</t>
    </rPh>
    <rPh sb="34" eb="47">
      <t>ガイライタイオウイリョウキカンカクホジギョウヒ</t>
    </rPh>
    <phoneticPr fontId="12"/>
  </si>
  <si>
    <t>医療機器</t>
    <rPh sb="0" eb="4">
      <t>イリョウキキ</t>
    </rPh>
    <phoneticPr fontId="1"/>
  </si>
  <si>
    <t>（２）契約書及び納品書の写し、検収調書の写し等事業経費等を確認できる書類</t>
    <phoneticPr fontId="1"/>
  </si>
  <si>
    <t>（３）その他参考となる書類</t>
    <rPh sb="5" eb="6">
      <t>タ</t>
    </rPh>
    <rPh sb="6" eb="8">
      <t>サンコウ</t>
    </rPh>
    <rPh sb="11" eb="13">
      <t>ショルイ</t>
    </rPh>
    <phoneticPr fontId="1"/>
  </si>
  <si>
    <t>サーモグラフィーカメラ</t>
    <phoneticPr fontId="1"/>
  </si>
  <si>
    <t xml:space="preserve">
本枠内に振込先口座の通帳の表紙見開きの写しを貼り付けしてください。
挙証資料（品目に係る納品書等）とともに
愛知県感染症対策課助成グループへ郵送してください。
（封筒余白に「コロナ外来対応医療機関確保事業費補助金交付申請」と朱書すること。）
</t>
    <rPh sb="46" eb="49">
      <t>ノウヒンショ</t>
    </rPh>
    <rPh sb="94" eb="107">
      <t>ガイライタイオウイリョウキカンカクホジギョウヒ</t>
    </rPh>
    <phoneticPr fontId="12"/>
  </si>
  <si>
    <t>金融機関番号</t>
    <rPh sb="0" eb="6">
      <t>キンユウキカンバンゴウ</t>
    </rPh>
    <phoneticPr fontId="1"/>
  </si>
  <si>
    <t>支店番号</t>
    <rPh sb="0" eb="4">
      <t>シテンバンゴウ</t>
    </rPh>
    <phoneticPr fontId="1"/>
  </si>
  <si>
    <t>選定額
(E)</t>
    <phoneticPr fontId="1"/>
  </si>
  <si>
    <t>県補助
基本額
(F)</t>
    <phoneticPr fontId="1"/>
  </si>
  <si>
    <t>県補助額
(F)×10/10
(G)</t>
    <phoneticPr fontId="1"/>
  </si>
  <si>
    <t>注１「県補助額」(G)には、１，０００円未満を切り捨てた額を記入すること。</t>
    <phoneticPr fontId="1"/>
  </si>
  <si>
    <t>交付申請兼実績報告書</t>
    <rPh sb="0" eb="4">
      <t>コウフシンセイ</t>
    </rPh>
    <rPh sb="4" eb="5">
      <t>ケン</t>
    </rPh>
    <rPh sb="5" eb="10">
      <t>ジッセキホウコクショ</t>
    </rPh>
    <phoneticPr fontId="1"/>
  </si>
  <si>
    <t>年</t>
    <phoneticPr fontId="1"/>
  </si>
  <si>
    <t>　このことについて、下記により申請、実績報告のうえ、請求します。
なお、支払いは下記の口座に振り込んでください。</t>
    <rPh sb="18" eb="22">
      <t>ジッセキホウコク</t>
    </rPh>
    <rPh sb="26" eb="28">
      <t>セイキュウ</t>
    </rPh>
    <rPh sb="36" eb="38">
      <t>シハラ</t>
    </rPh>
    <rPh sb="40" eb="42">
      <t>カキ</t>
    </rPh>
    <rPh sb="43" eb="45">
      <t>コウザ</t>
    </rPh>
    <rPh sb="46" eb="47">
      <t>フ</t>
    </rPh>
    <rPh sb="48" eb="49">
      <t>コ</t>
    </rPh>
    <phoneticPr fontId="1"/>
  </si>
  <si>
    <t>（１）歳入歳出決算書書（見込書）抄本（様式１-3）</t>
    <phoneticPr fontId="1"/>
  </si>
  <si>
    <t>４　初度設備整備基準算出内訳及び対象経費実支出額内訳（様式１-2）</t>
    <rPh sb="2" eb="4">
      <t>ショド</t>
    </rPh>
    <phoneticPr fontId="1"/>
  </si>
  <si>
    <t>３　経費精算書（様式１-1）</t>
    <phoneticPr fontId="1"/>
  </si>
  <si>
    <t>6　支払先口座情報</t>
    <rPh sb="2" eb="5">
      <t>シハライサキ</t>
    </rPh>
    <rPh sb="5" eb="9">
      <t>コウザジョウホウ</t>
    </rPh>
    <phoneticPr fontId="1"/>
  </si>
  <si>
    <t>看板 明細</t>
    <rPh sb="0" eb="2">
      <t>カンバン</t>
    </rPh>
    <rPh sb="3" eb="5">
      <t>メイサイ</t>
    </rPh>
    <phoneticPr fontId="1"/>
  </si>
  <si>
    <t>所要額</t>
    <rPh sb="0" eb="3">
      <t>ショヨウガク</t>
    </rPh>
    <phoneticPr fontId="1"/>
  </si>
  <si>
    <t>《標準仕様》</t>
    <rPh sb="1" eb="5">
      <t>ヒョウジュンシヨウ</t>
    </rPh>
    <phoneticPr fontId="1"/>
  </si>
  <si>
    <t>○イメージ図</t>
    <rPh sb="5" eb="6">
      <t>ズ</t>
    </rPh>
    <phoneticPr fontId="1"/>
  </si>
  <si>
    <t>全体</t>
    <rPh sb="0" eb="2">
      <t>ゼンタイ</t>
    </rPh>
    <phoneticPr fontId="1"/>
  </si>
  <si>
    <t>面積</t>
    <rPh sb="0" eb="2">
      <t>メンセキ</t>
    </rPh>
    <phoneticPr fontId="1"/>
  </si>
  <si>
    <t>専有割合</t>
    <rPh sb="0" eb="2">
      <t>センユウ</t>
    </rPh>
    <rPh sb="2" eb="4">
      <t>ワリアイ</t>
    </rPh>
    <phoneticPr fontId="1"/>
  </si>
  <si>
    <t>－</t>
    <phoneticPr fontId="1"/>
  </si>
  <si>
    <t>発熱外来の明示部分</t>
    <rPh sb="0" eb="2">
      <t>ハツネツ</t>
    </rPh>
    <rPh sb="2" eb="4">
      <t>ガイライ</t>
    </rPh>
    <rPh sb="5" eb="7">
      <t>メイジ</t>
    </rPh>
    <rPh sb="7" eb="9">
      <t>ブブン</t>
    </rPh>
    <phoneticPr fontId="1"/>
  </si>
  <si>
    <t>箇所</t>
    <rPh sb="0" eb="2">
      <t>カショ</t>
    </rPh>
    <phoneticPr fontId="1"/>
  </si>
  <si>
    <t>案内図</t>
    <rPh sb="0" eb="3">
      <t>アンナイズ</t>
    </rPh>
    <phoneticPr fontId="1"/>
  </si>
  <si>
    <t>対応時間</t>
    <rPh sb="0" eb="4">
      <t>タイオウジカン</t>
    </rPh>
    <phoneticPr fontId="1"/>
  </si>
  <si>
    <t>医療機関情報</t>
    <rPh sb="0" eb="6">
      <t>イリョウキカンジョウホウ</t>
    </rPh>
    <phoneticPr fontId="1"/>
  </si>
  <si>
    <t>必要割合</t>
    <rPh sb="0" eb="2">
      <t>ヒツヨウ</t>
    </rPh>
    <rPh sb="2" eb="4">
      <t>ワリアイ</t>
    </rPh>
    <phoneticPr fontId="1"/>
  </si>
  <si>
    <t>設置個所数</t>
    <rPh sb="0" eb="5">
      <t>セッチカショスウ</t>
    </rPh>
    <phoneticPr fontId="1"/>
  </si>
  <si>
    <t>総合判定</t>
    <phoneticPr fontId="1"/>
  </si>
  <si>
    <t>分類</t>
    <rPh sb="0" eb="2">
      <t>ブンルイ</t>
    </rPh>
    <phoneticPr fontId="1"/>
  </si>
  <si>
    <t>電柱広告</t>
    <rPh sb="0" eb="4">
      <t>デンチュウコウコク</t>
    </rPh>
    <phoneticPr fontId="1"/>
  </si>
  <si>
    <t>個数</t>
    <rPh sb="0" eb="2">
      <t>コスウ</t>
    </rPh>
    <phoneticPr fontId="1"/>
  </si>
  <si>
    <t>個所数</t>
    <rPh sb="0" eb="3">
      <t>カショスウ</t>
    </rPh>
    <phoneticPr fontId="1"/>
  </si>
  <si>
    <t>道路看板</t>
    <rPh sb="0" eb="2">
      <t>ドウロ</t>
    </rPh>
    <rPh sb="2" eb="4">
      <t>カンバン</t>
    </rPh>
    <phoneticPr fontId="1"/>
  </si>
  <si>
    <t>計上数</t>
    <rPh sb="0" eb="3">
      <t>ケイジョウスウ</t>
    </rPh>
    <phoneticPr fontId="1"/>
  </si>
  <si>
    <t>（１）イ</t>
    <phoneticPr fontId="1"/>
  </si>
  <si>
    <t>（２）</t>
    <phoneticPr fontId="1"/>
  </si>
  <si>
    <t>総合判定</t>
    <rPh sb="0" eb="4">
      <t>ソウゴウハンテイ</t>
    </rPh>
    <phoneticPr fontId="1"/>
  </si>
  <si>
    <t>（１）寸法内訳（仕様詳細関係）</t>
    <phoneticPr fontId="1"/>
  </si>
  <si>
    <t>□　全ての看板の設置位置図</t>
    <rPh sb="2" eb="3">
      <t>スベ</t>
    </rPh>
    <rPh sb="5" eb="7">
      <t>カンバン</t>
    </rPh>
    <rPh sb="8" eb="10">
      <t>セッチ</t>
    </rPh>
    <rPh sb="10" eb="13">
      <t>イチズ</t>
    </rPh>
    <phoneticPr fontId="1"/>
  </si>
  <si>
    <t>□　全ての看板の設計図面（カラー印刷のもの。看板全体及び、各種要件記載の縦横寸法が記載されたもの。）</t>
    <rPh sb="2" eb="3">
      <t>スベ</t>
    </rPh>
    <rPh sb="5" eb="7">
      <t>カンバン</t>
    </rPh>
    <rPh sb="8" eb="10">
      <t>セッケイ</t>
    </rPh>
    <rPh sb="10" eb="12">
      <t>ズメン</t>
    </rPh>
    <rPh sb="16" eb="18">
      <t>インサツ</t>
    </rPh>
    <rPh sb="22" eb="26">
      <t>カンバンゼンタイ</t>
    </rPh>
    <rPh sb="26" eb="27">
      <t>オヨ</t>
    </rPh>
    <rPh sb="29" eb="31">
      <t>カクシュ</t>
    </rPh>
    <rPh sb="31" eb="33">
      <t>ヨウケン</t>
    </rPh>
    <rPh sb="33" eb="35">
      <t>キサイ</t>
    </rPh>
    <rPh sb="36" eb="38">
      <t>タテヨコ</t>
    </rPh>
    <rPh sb="38" eb="40">
      <t>スンポウ</t>
    </rPh>
    <rPh sb="41" eb="43">
      <t>キサイ</t>
    </rPh>
    <phoneticPr fontId="1"/>
  </si>
  <si>
    <t>□　全ての看板の設置状況写真（カラー）</t>
    <rPh sb="2" eb="3">
      <t>スベ</t>
    </rPh>
    <rPh sb="5" eb="7">
      <t>カンバン</t>
    </rPh>
    <rPh sb="8" eb="10">
      <t>セッチ</t>
    </rPh>
    <rPh sb="10" eb="12">
      <t>ジョウキョウ</t>
    </rPh>
    <rPh sb="12" eb="14">
      <t>シャシン</t>
    </rPh>
    <phoneticPr fontId="1"/>
  </si>
  <si>
    <t>□　納品書または請求書（経費発生の事実及びその内訳がわかるもの。）</t>
    <rPh sb="2" eb="5">
      <t>ノウヒンショ</t>
    </rPh>
    <rPh sb="8" eb="11">
      <t>セイキュウショ</t>
    </rPh>
    <rPh sb="12" eb="14">
      <t>ケイヒ</t>
    </rPh>
    <rPh sb="14" eb="16">
      <t>ハッセイ</t>
    </rPh>
    <rPh sb="17" eb="19">
      <t>ジジツ</t>
    </rPh>
    <rPh sb="19" eb="20">
      <t>オヨ</t>
    </rPh>
    <rPh sb="23" eb="25">
      <t>ウチワケ</t>
    </rPh>
    <phoneticPr fontId="1"/>
  </si>
  <si>
    <t>ホームページ 明細</t>
    <rPh sb="7" eb="9">
      <t>メイサイ</t>
    </rPh>
    <phoneticPr fontId="1"/>
  </si>
  <si>
    <t>整備理由</t>
    <rPh sb="0" eb="4">
      <t>セイビリユウ</t>
    </rPh>
    <phoneticPr fontId="1"/>
  </si>
  <si>
    <t>位置図</t>
    <rPh sb="0" eb="3">
      <t>イチズ</t>
    </rPh>
    <phoneticPr fontId="1"/>
  </si>
  <si>
    <t>全体（バナー等を除いた部分）</t>
    <rPh sb="0" eb="2">
      <t>ゼンタイ</t>
    </rPh>
    <rPh sb="6" eb="7">
      <t>トウ</t>
    </rPh>
    <rPh sb="8" eb="9">
      <t>ノゾ</t>
    </rPh>
    <rPh sb="11" eb="13">
      <t>ブブン</t>
    </rPh>
    <phoneticPr fontId="1"/>
  </si>
  <si>
    <t>（１）ウ</t>
    <phoneticPr fontId="1"/>
  </si>
  <si>
    <t>052-954-7489(ﾀﾞｲﾔﾙｲﾝ)</t>
  </si>
  <si>
    <t>感染症対策局感染症対策課助成グループ</t>
    <rPh sb="0" eb="3">
      <t>カンセンショウ</t>
    </rPh>
    <rPh sb="3" eb="5">
      <t>タイサク</t>
    </rPh>
    <rPh sb="5" eb="6">
      <t>キョク</t>
    </rPh>
    <rPh sb="6" eb="9">
      <t>カンセンショウ</t>
    </rPh>
    <rPh sb="9" eb="11">
      <t>タイサク</t>
    </rPh>
    <rPh sb="11" eb="12">
      <t>カ</t>
    </rPh>
    <rPh sb="12" eb="14">
      <t>ジョセイ</t>
    </rPh>
    <phoneticPr fontId="12"/>
  </si>
  <si>
    <t>回答</t>
    <rPh sb="0" eb="2">
      <t>カイトウ</t>
    </rPh>
    <phoneticPr fontId="12"/>
  </si>
  <si>
    <t>未</t>
    <rPh sb="0" eb="1">
      <t>ミ</t>
    </rPh>
    <phoneticPr fontId="12"/>
  </si>
  <si>
    <t>貴法人からありました任意協議の内容を確認したところ、以下のとおり支障ないものと判断されました。
但し、以下に付帯条件記載がある場合、これに基づき補助事業を実施するようにしてください。</t>
    <rPh sb="51" eb="53">
      <t>イカ</t>
    </rPh>
    <rPh sb="54" eb="56">
      <t>フタイ</t>
    </rPh>
    <rPh sb="58" eb="60">
      <t>キサイ</t>
    </rPh>
    <phoneticPr fontId="12"/>
  </si>
  <si>
    <t>電話番号</t>
    <rPh sb="0" eb="2">
      <t>デンワ</t>
    </rPh>
    <rPh sb="2" eb="4">
      <t>バンゴウ</t>
    </rPh>
    <phoneticPr fontId="12"/>
  </si>
  <si>
    <t>担当部署</t>
    <rPh sb="0" eb="4">
      <t>タントウブショ</t>
    </rPh>
    <phoneticPr fontId="12"/>
  </si>
  <si>
    <t>非接触サーモグラフィー
カメラ関係</t>
    <rPh sb="0" eb="3">
      <t>ヒセッショク</t>
    </rPh>
    <rPh sb="15" eb="17">
      <t>カンケイ</t>
    </rPh>
    <phoneticPr fontId="12"/>
  </si>
  <si>
    <t>医療機器整備費関係</t>
    <rPh sb="0" eb="4">
      <t>イリョウキキ</t>
    </rPh>
    <rPh sb="4" eb="7">
      <t>セイビヒ</t>
    </rPh>
    <rPh sb="7" eb="9">
      <t>カンケイ</t>
    </rPh>
    <phoneticPr fontId="12"/>
  </si>
  <si>
    <t>換気扇設備修繕費関係</t>
    <rPh sb="0" eb="5">
      <t>カンキセンセツビ</t>
    </rPh>
    <rPh sb="5" eb="8">
      <t>シュウゼンヒ</t>
    </rPh>
    <rPh sb="8" eb="10">
      <t>カンケイ</t>
    </rPh>
    <phoneticPr fontId="12"/>
  </si>
  <si>
    <t>ホームページ改修費関係</t>
    <rPh sb="6" eb="9">
      <t>カイシュウヒ</t>
    </rPh>
    <rPh sb="9" eb="11">
      <t>カンケイ</t>
    </rPh>
    <phoneticPr fontId="12"/>
  </si>
  <si>
    <t>看板設置料関係</t>
    <rPh sb="0" eb="2">
      <t>カンバン</t>
    </rPh>
    <rPh sb="2" eb="5">
      <t>セッチリョウ</t>
    </rPh>
    <rPh sb="5" eb="7">
      <t>カンケイ</t>
    </rPh>
    <phoneticPr fontId="12"/>
  </si>
  <si>
    <t>【県意見記入欄】</t>
    <rPh sb="1" eb="2">
      <t>ケン</t>
    </rPh>
    <rPh sb="2" eb="4">
      <t>イケン</t>
    </rPh>
    <rPh sb="4" eb="7">
      <t>キニュウラン</t>
    </rPh>
    <phoneticPr fontId="12"/>
  </si>
  <si>
    <t>Mailアドレス</t>
    <phoneticPr fontId="12"/>
  </si>
  <si>
    <t>担当者名</t>
    <rPh sb="0" eb="4">
      <t>タントウシャメイ</t>
    </rPh>
    <phoneticPr fontId="12"/>
  </si>
  <si>
    <t>　・　その他参考となる書類</t>
    <rPh sb="5" eb="6">
      <t>タ</t>
    </rPh>
    <rPh sb="6" eb="8">
      <t>サンコウ</t>
    </rPh>
    <rPh sb="11" eb="13">
      <t>ショルイ</t>
    </rPh>
    <phoneticPr fontId="12"/>
  </si>
  <si>
    <t>　・　歳入歳出決算書（見込書）抄本（様式１－３）案</t>
    <rPh sb="3" eb="7">
      <t>サイニュウサイシュツ</t>
    </rPh>
    <rPh sb="7" eb="9">
      <t>ケッサン</t>
    </rPh>
    <rPh sb="9" eb="10">
      <t>ショ</t>
    </rPh>
    <rPh sb="11" eb="13">
      <t>ミコミ</t>
    </rPh>
    <rPh sb="13" eb="14">
      <t>ショ</t>
    </rPh>
    <rPh sb="15" eb="17">
      <t>ショウホン</t>
    </rPh>
    <rPh sb="18" eb="20">
      <t>ヨウシキ</t>
    </rPh>
    <rPh sb="24" eb="25">
      <t>アン</t>
    </rPh>
    <phoneticPr fontId="12"/>
  </si>
  <si>
    <t>　・　設備整備基準額算出内訳及び対象経費実支出額内訳書（様式１－２）案</t>
    <rPh sb="3" eb="7">
      <t>セツビセイビ</t>
    </rPh>
    <rPh sb="7" eb="10">
      <t>キジュンガク</t>
    </rPh>
    <rPh sb="10" eb="12">
      <t>サンシュツ</t>
    </rPh>
    <rPh sb="12" eb="14">
      <t>ウチワケ</t>
    </rPh>
    <rPh sb="14" eb="15">
      <t>オヨ</t>
    </rPh>
    <rPh sb="16" eb="20">
      <t>タイショウケイヒ</t>
    </rPh>
    <rPh sb="20" eb="21">
      <t>ジツ</t>
    </rPh>
    <rPh sb="21" eb="23">
      <t>シシュツ</t>
    </rPh>
    <rPh sb="23" eb="24">
      <t>ガク</t>
    </rPh>
    <rPh sb="24" eb="26">
      <t>ウチワケ</t>
    </rPh>
    <rPh sb="26" eb="27">
      <t>ショ</t>
    </rPh>
    <rPh sb="28" eb="30">
      <t>ヨウシキ</t>
    </rPh>
    <rPh sb="34" eb="35">
      <t>アン</t>
    </rPh>
    <phoneticPr fontId="12"/>
  </si>
  <si>
    <t>　・　経費精算書（様式１－１）案</t>
    <rPh sb="3" eb="5">
      <t>ケイヒ</t>
    </rPh>
    <rPh sb="5" eb="8">
      <t>セイサンショ</t>
    </rPh>
    <rPh sb="9" eb="11">
      <t>ヨウシキ</t>
    </rPh>
    <rPh sb="15" eb="16">
      <t>アン</t>
    </rPh>
    <phoneticPr fontId="12"/>
  </si>
  <si>
    <t>　・　交付申請書兼実績報告書兼請求書（様式１）案</t>
    <rPh sb="19" eb="21">
      <t>ヨウシキ</t>
    </rPh>
    <rPh sb="23" eb="24">
      <t>アン</t>
    </rPh>
    <phoneticPr fontId="12"/>
  </si>
  <si>
    <t>３　添付資料</t>
    <rPh sb="2" eb="4">
      <t>テンプ</t>
    </rPh>
    <rPh sb="4" eb="6">
      <t>シリョウ</t>
    </rPh>
    <phoneticPr fontId="12"/>
  </si>
  <si>
    <t>２　所要見込額</t>
    <rPh sb="2" eb="4">
      <t>ショヨウ</t>
    </rPh>
    <rPh sb="4" eb="7">
      <t>ミコミガク</t>
    </rPh>
    <phoneticPr fontId="12"/>
  </si>
  <si>
    <t>１　施設の名称及び所在地</t>
    <rPh sb="2" eb="4">
      <t>シセツ</t>
    </rPh>
    <rPh sb="5" eb="7">
      <t>メイショウ</t>
    </rPh>
    <rPh sb="7" eb="8">
      <t>オヨ</t>
    </rPh>
    <rPh sb="9" eb="12">
      <t>ショザイチ</t>
    </rPh>
    <phoneticPr fontId="12"/>
  </si>
  <si>
    <t>　このことについて、補助事業の実施に先立ち実施計画につき下記のとおり任意協議をします。
　なお、協議完了後、補助事業を実施する場合は協議結果を踏まえ補助事業を実施することを申し立て
するとともに、協議結果に含まれない整備を行った際には本補助事業の趣旨目的に照らし、補助対象外
となることがあることについても確認しました。</t>
    <rPh sb="10" eb="14">
      <t>ホジョジギョウ</t>
    </rPh>
    <rPh sb="15" eb="17">
      <t>ジッシ</t>
    </rPh>
    <rPh sb="18" eb="20">
      <t>サキダ</t>
    </rPh>
    <rPh sb="21" eb="23">
      <t>ジッシ</t>
    </rPh>
    <rPh sb="23" eb="25">
      <t>ケイカク</t>
    </rPh>
    <rPh sb="28" eb="30">
      <t>カキ</t>
    </rPh>
    <rPh sb="34" eb="36">
      <t>ニンイ</t>
    </rPh>
    <rPh sb="36" eb="38">
      <t>キョウギ</t>
    </rPh>
    <rPh sb="48" eb="50">
      <t>キョウギ</t>
    </rPh>
    <rPh sb="50" eb="53">
      <t>カンリョウゴ</t>
    </rPh>
    <rPh sb="54" eb="56">
      <t>ホジョ</t>
    </rPh>
    <rPh sb="56" eb="58">
      <t>ジギョウ</t>
    </rPh>
    <rPh sb="59" eb="61">
      <t>ジッシ</t>
    </rPh>
    <rPh sb="63" eb="65">
      <t>バアイ</t>
    </rPh>
    <rPh sb="66" eb="68">
      <t>キョウギ</t>
    </rPh>
    <rPh sb="68" eb="70">
      <t>ケッカ</t>
    </rPh>
    <rPh sb="71" eb="72">
      <t>フ</t>
    </rPh>
    <rPh sb="74" eb="78">
      <t>ホジョジギョウ</t>
    </rPh>
    <rPh sb="79" eb="81">
      <t>ジッシ</t>
    </rPh>
    <rPh sb="86" eb="87">
      <t>モウ</t>
    </rPh>
    <rPh sb="88" eb="89">
      <t>タ</t>
    </rPh>
    <rPh sb="98" eb="100">
      <t>キョウギ</t>
    </rPh>
    <rPh sb="100" eb="102">
      <t>ケッカ</t>
    </rPh>
    <rPh sb="103" eb="104">
      <t>フク</t>
    </rPh>
    <rPh sb="108" eb="110">
      <t>セイビ</t>
    </rPh>
    <rPh sb="111" eb="112">
      <t>オコナ</t>
    </rPh>
    <rPh sb="114" eb="115">
      <t>サイ</t>
    </rPh>
    <rPh sb="117" eb="118">
      <t>ホン</t>
    </rPh>
    <rPh sb="118" eb="120">
      <t>ホジョ</t>
    </rPh>
    <rPh sb="120" eb="122">
      <t>ジギョウ</t>
    </rPh>
    <rPh sb="123" eb="125">
      <t>シュシ</t>
    </rPh>
    <rPh sb="125" eb="127">
      <t>モクテキ</t>
    </rPh>
    <rPh sb="128" eb="129">
      <t>テ</t>
    </rPh>
    <rPh sb="132" eb="134">
      <t>ホジョ</t>
    </rPh>
    <rPh sb="134" eb="137">
      <t>タイショウガイ</t>
    </rPh>
    <rPh sb="153" eb="155">
      <t>カクニン</t>
    </rPh>
    <phoneticPr fontId="12"/>
  </si>
  <si>
    <t>代表者職氏名</t>
    <rPh sb="0" eb="3">
      <t>ダイヒョウシャ</t>
    </rPh>
    <rPh sb="3" eb="6">
      <t>ショクシメイ</t>
    </rPh>
    <phoneticPr fontId="12"/>
  </si>
  <si>
    <t>補助事業者名</t>
    <rPh sb="0" eb="6">
      <t>ホジョジギョウシャメイ</t>
    </rPh>
    <phoneticPr fontId="12"/>
  </si>
  <si>
    <t>所在地</t>
    <rPh sb="0" eb="3">
      <t>ショザイチ</t>
    </rPh>
    <phoneticPr fontId="12"/>
  </si>
  <si>
    <t>愛知県知事　殿</t>
    <rPh sb="0" eb="3">
      <t>アイチケン</t>
    </rPh>
    <rPh sb="3" eb="5">
      <t>チジ</t>
    </rPh>
    <rPh sb="6" eb="7">
      <t>ドノ</t>
    </rPh>
    <phoneticPr fontId="12"/>
  </si>
  <si>
    <t>事前協議</t>
    <rPh sb="0" eb="4">
      <t>ジゼンキョウギ</t>
    </rPh>
    <phoneticPr fontId="1"/>
  </si>
  <si>
    <t>金</t>
  </si>
  <si>
    <t>土</t>
  </si>
  <si>
    <t>水</t>
  </si>
  <si>
    <t>木</t>
  </si>
  <si>
    <t>月</t>
    <rPh sb="0" eb="1">
      <t>ゲツ</t>
    </rPh>
    <phoneticPr fontId="1"/>
  </si>
  <si>
    <t>火</t>
    <rPh sb="0" eb="1">
      <t>カ</t>
    </rPh>
    <phoneticPr fontId="1"/>
  </si>
  <si>
    <t>診療日</t>
    <rPh sb="0" eb="3">
      <t>シンリョウビ</t>
    </rPh>
    <phoneticPr fontId="1"/>
  </si>
  <si>
    <t>休診日</t>
    <rPh sb="0" eb="3">
      <t>キュウシンビ</t>
    </rPh>
    <phoneticPr fontId="1"/>
  </si>
  <si>
    <t>発熱外来基本情報</t>
    <rPh sb="0" eb="4">
      <t>ハツネツガイライ</t>
    </rPh>
    <rPh sb="4" eb="8">
      <t>キホンジョウホウ</t>
    </rPh>
    <phoneticPr fontId="1"/>
  </si>
  <si>
    <t>基本情報</t>
    <rPh sb="0" eb="4">
      <t>キホンジョウホウ</t>
    </rPh>
    <phoneticPr fontId="1"/>
  </si>
  <si>
    <t>看板</t>
    <rPh sb="0" eb="2">
      <t>カンバン</t>
    </rPh>
    <phoneticPr fontId="1"/>
  </si>
  <si>
    <t>ホームページ</t>
    <phoneticPr fontId="1"/>
  </si>
  <si>
    <t>看板設置料の助成申請を行う場合のみ</t>
    <rPh sb="0" eb="5">
      <t>カンバンセッチリョウ</t>
    </rPh>
    <rPh sb="6" eb="10">
      <t>ジョセイシンセイ</t>
    </rPh>
    <rPh sb="11" eb="12">
      <t>オコナ</t>
    </rPh>
    <rPh sb="13" eb="15">
      <t>バアイ</t>
    </rPh>
    <phoneticPr fontId="1"/>
  </si>
  <si>
    <t>ホームページ改修費の助成申請を行う場合のみ</t>
    <rPh sb="6" eb="9">
      <t>カイシュウヒ</t>
    </rPh>
    <rPh sb="10" eb="14">
      <t>ジョセイシンセイ</t>
    </rPh>
    <rPh sb="15" eb="16">
      <t>オコナ</t>
    </rPh>
    <rPh sb="17" eb="19">
      <t>バアイ</t>
    </rPh>
    <phoneticPr fontId="1"/>
  </si>
  <si>
    <t>（１）</t>
  </si>
  <si>
    <t>総合判定</t>
    <rPh sb="0" eb="4">
      <t>ソウゴウハンテイ</t>
    </rPh>
    <phoneticPr fontId="1"/>
  </si>
  <si>
    <t>月</t>
    <phoneticPr fontId="1"/>
  </si>
  <si>
    <t>（ア）１種類目（１種類のみ作成の場合はこちらに入力してください。）</t>
    <rPh sb="4" eb="6">
      <t>シュルイ</t>
    </rPh>
    <rPh sb="6" eb="7">
      <t>メ</t>
    </rPh>
    <rPh sb="9" eb="11">
      <t>シュルイ</t>
    </rPh>
    <rPh sb="13" eb="15">
      <t>サクセイ</t>
    </rPh>
    <rPh sb="16" eb="18">
      <t>バアイ</t>
    </rPh>
    <rPh sb="23" eb="25">
      <t>ニュウリョク</t>
    </rPh>
    <phoneticPr fontId="1"/>
  </si>
  <si>
    <t>（イ）２種類目（上段と別種を作成する場合はこちらに入力してください。）</t>
    <rPh sb="4" eb="6">
      <t>シュルイ</t>
    </rPh>
    <rPh sb="6" eb="7">
      <t>メ</t>
    </rPh>
    <rPh sb="8" eb="10">
      <t>ジョウダン</t>
    </rPh>
    <rPh sb="11" eb="13">
      <t>ベッシュ</t>
    </rPh>
    <rPh sb="14" eb="16">
      <t>サクセイ</t>
    </rPh>
    <rPh sb="18" eb="20">
      <t>バアイ</t>
    </rPh>
    <rPh sb="25" eb="27">
      <t>ニュウリョク</t>
    </rPh>
    <phoneticPr fontId="1"/>
  </si>
  <si>
    <t>１種類目</t>
    <rPh sb="1" eb="3">
      <t>シュルイ</t>
    </rPh>
    <rPh sb="3" eb="4">
      <t>メ</t>
    </rPh>
    <phoneticPr fontId="1"/>
  </si>
  <si>
    <t>２種類目</t>
    <rPh sb="1" eb="3">
      <t>シュルイ</t>
    </rPh>
    <rPh sb="3" eb="4">
      <t>メ</t>
    </rPh>
    <phoneticPr fontId="1"/>
  </si>
  <si>
    <t>総合判定</t>
    <rPh sb="0" eb="2">
      <t>ソウゴウ</t>
    </rPh>
    <rPh sb="2" eb="4">
      <t>ハンテイ</t>
    </rPh>
    <phoneticPr fontId="1"/>
  </si>
  <si>
    <t>道路看板</t>
    <rPh sb="0" eb="2">
      <t>ドウロ</t>
    </rPh>
    <rPh sb="2" eb="4">
      <t>カンバン</t>
    </rPh>
    <phoneticPr fontId="1"/>
  </si>
  <si>
    <t>電柱広告</t>
    <rPh sb="0" eb="2">
      <t>デンチュウ</t>
    </rPh>
    <rPh sb="2" eb="4">
      <t>コウコク</t>
    </rPh>
    <phoneticPr fontId="1"/>
  </si>
  <si>
    <t>○標準仕様（標準仕様を満たさない場合、原則補助対象外となりますのでご注意ください。）</t>
    <rPh sb="1" eb="3">
      <t>ヒョウジュン</t>
    </rPh>
    <rPh sb="3" eb="5">
      <t>シヨウ</t>
    </rPh>
    <rPh sb="6" eb="8">
      <t>ヒョウジュン</t>
    </rPh>
    <rPh sb="8" eb="10">
      <t>シヨウ</t>
    </rPh>
    <rPh sb="11" eb="12">
      <t>ミ</t>
    </rPh>
    <rPh sb="16" eb="18">
      <t>バアイ</t>
    </rPh>
    <rPh sb="19" eb="21">
      <t>ゲンソク</t>
    </rPh>
    <rPh sb="21" eb="23">
      <t>ホジョ</t>
    </rPh>
    <rPh sb="23" eb="25">
      <t>タイショウ</t>
    </rPh>
    <rPh sb="25" eb="26">
      <t>ガイ</t>
    </rPh>
    <rPh sb="34" eb="36">
      <t>チュウイ</t>
    </rPh>
    <phoneticPr fontId="1"/>
  </si>
  <si>
    <t>縦（cm）</t>
    <rPh sb="0" eb="1">
      <t>タテ</t>
    </rPh>
    <phoneticPr fontId="1"/>
  </si>
  <si>
    <t>横(cm)</t>
    <rPh sb="0" eb="1">
      <t>ヨコ</t>
    </rPh>
    <phoneticPr fontId="1"/>
  </si>
  <si>
    <t>寸法については、A４用紙に倍率100パーセントで印刷した際のものを入力すること。</t>
    <rPh sb="0" eb="2">
      <t>スンポウ</t>
    </rPh>
    <rPh sb="10" eb="12">
      <t>ヨウシ</t>
    </rPh>
    <rPh sb="13" eb="15">
      <t>バイリツ</t>
    </rPh>
    <rPh sb="24" eb="26">
      <t>インサツ</t>
    </rPh>
    <rPh sb="28" eb="29">
      <t>サイ</t>
    </rPh>
    <rPh sb="33" eb="35">
      <t>ニュウリョク</t>
    </rPh>
    <phoneticPr fontId="1"/>
  </si>
  <si>
    <t>☆　郵送による添付書類</t>
    <rPh sb="2" eb="4">
      <t>ユウソウ</t>
    </rPh>
    <rPh sb="7" eb="9">
      <t>テンプ</t>
    </rPh>
    <rPh sb="9" eb="11">
      <t>ショルイ</t>
    </rPh>
    <phoneticPr fontId="1"/>
  </si>
  <si>
    <t>　□　納品書または請求書（経費発生の事実及びその内訳がわかるもの。）</t>
    <rPh sb="3" eb="6">
      <t>ノウヒンショ</t>
    </rPh>
    <rPh sb="9" eb="12">
      <t>セイキュウショ</t>
    </rPh>
    <rPh sb="13" eb="15">
      <t>ケイヒ</t>
    </rPh>
    <rPh sb="15" eb="17">
      <t>ハッセイ</t>
    </rPh>
    <rPh sb="18" eb="20">
      <t>ジジツ</t>
    </rPh>
    <rPh sb="20" eb="21">
      <t>オヨ</t>
    </rPh>
    <rPh sb="24" eb="26">
      <t>ウチワケ</t>
    </rPh>
    <phoneticPr fontId="1"/>
  </si>
  <si>
    <t>　□　ホームページの設計図面（カラー印刷のもの。ページ全体及び、各種要件記載の縦横寸法が記載されたもの。）</t>
    <rPh sb="10" eb="12">
      <t>セッケイ</t>
    </rPh>
    <rPh sb="12" eb="14">
      <t>ズメン</t>
    </rPh>
    <rPh sb="18" eb="20">
      <t>インサツ</t>
    </rPh>
    <rPh sb="27" eb="29">
      <t>ゼンタイ</t>
    </rPh>
    <rPh sb="29" eb="30">
      <t>オヨ</t>
    </rPh>
    <rPh sb="32" eb="34">
      <t>カクシュ</t>
    </rPh>
    <rPh sb="34" eb="36">
      <t>ヨウケン</t>
    </rPh>
    <rPh sb="36" eb="38">
      <t>キサイ</t>
    </rPh>
    <rPh sb="39" eb="41">
      <t>タテヨコ</t>
    </rPh>
    <rPh sb="41" eb="43">
      <t>スンポウ</t>
    </rPh>
    <rPh sb="44" eb="46">
      <t>キサイ</t>
    </rPh>
    <phoneticPr fontId="1"/>
  </si>
  <si>
    <t>　□　全ての看板の設置位置図</t>
    <rPh sb="3" eb="4">
      <t>スベ</t>
    </rPh>
    <rPh sb="6" eb="8">
      <t>カンバン</t>
    </rPh>
    <rPh sb="9" eb="11">
      <t>セッチ</t>
    </rPh>
    <rPh sb="11" eb="14">
      <t>イチズ</t>
    </rPh>
    <phoneticPr fontId="1"/>
  </si>
  <si>
    <t>　□　ホームページ画面をA4用紙に倍率100パーセント、カラーモードで印刷したもの。</t>
    <rPh sb="9" eb="11">
      <t>ガメン</t>
    </rPh>
    <rPh sb="14" eb="16">
      <t>ヨウシ</t>
    </rPh>
    <rPh sb="17" eb="19">
      <t>バイリツ</t>
    </rPh>
    <rPh sb="35" eb="37">
      <t>インサツ</t>
    </rPh>
    <phoneticPr fontId="1"/>
  </si>
  <si>
    <t>　☆　郵送による添付書類</t>
    <rPh sb="3" eb="5">
      <t>ユウソウ</t>
    </rPh>
    <rPh sb="8" eb="10">
      <t>テンプ</t>
    </rPh>
    <rPh sb="10" eb="12">
      <t>ショルイ</t>
    </rPh>
    <phoneticPr fontId="1"/>
  </si>
  <si>
    <t>個別判定</t>
    <rPh sb="0" eb="2">
      <t>コベツ</t>
    </rPh>
    <rPh sb="2" eb="4">
      <t>ハンテイ</t>
    </rPh>
    <phoneticPr fontId="1"/>
  </si>
  <si>
    <t>購入した医療機器が新型コロナウイルス感染症の外来対応を実施するにおいて真に必要不可欠であると認められるものであること。</t>
    <rPh sb="0" eb="2">
      <t>コウニュウ</t>
    </rPh>
    <rPh sb="4" eb="8">
      <t>イリョウキキ</t>
    </rPh>
    <rPh sb="9" eb="11">
      <t>シンガタ</t>
    </rPh>
    <rPh sb="18" eb="21">
      <t>カンセンショウ</t>
    </rPh>
    <rPh sb="22" eb="26">
      <t>ガイライタイオウ</t>
    </rPh>
    <rPh sb="27" eb="29">
      <t>ジッシ</t>
    </rPh>
    <rPh sb="35" eb="36">
      <t>シン</t>
    </rPh>
    <rPh sb="37" eb="42">
      <t>ヒツヨウフカケツ</t>
    </rPh>
    <rPh sb="46" eb="47">
      <t>ミト</t>
    </rPh>
    <phoneticPr fontId="1"/>
  </si>
  <si>
    <t>②</t>
    <phoneticPr fontId="1"/>
  </si>
  <si>
    <t>貴重な公金を原資とした整備であることから、院内の既存設備により対応が困難であるものに限り、必要最小限度であること。</t>
    <rPh sb="0" eb="2">
      <t>キチョウ</t>
    </rPh>
    <rPh sb="3" eb="5">
      <t>コウキン</t>
    </rPh>
    <rPh sb="6" eb="8">
      <t>ゲンシ</t>
    </rPh>
    <rPh sb="11" eb="13">
      <t>セイビ</t>
    </rPh>
    <rPh sb="21" eb="23">
      <t>インナイ</t>
    </rPh>
    <rPh sb="24" eb="26">
      <t>キソン</t>
    </rPh>
    <rPh sb="26" eb="28">
      <t>セツビ</t>
    </rPh>
    <rPh sb="31" eb="33">
      <t>タイオウ</t>
    </rPh>
    <rPh sb="34" eb="36">
      <t>コンナン</t>
    </rPh>
    <rPh sb="42" eb="43">
      <t>カギ</t>
    </rPh>
    <rPh sb="45" eb="47">
      <t>ヒツヨウ</t>
    </rPh>
    <rPh sb="47" eb="49">
      <t>サイショウ</t>
    </rPh>
    <rPh sb="49" eb="51">
      <t>ゲンド</t>
    </rPh>
    <phoneticPr fontId="1"/>
  </si>
  <si>
    <t>上記①及び②の観点に基づき、整備理由を記載すること。</t>
    <rPh sb="0" eb="2">
      <t>ジョウキ</t>
    </rPh>
    <rPh sb="3" eb="4">
      <t>オヨ</t>
    </rPh>
    <rPh sb="7" eb="9">
      <t>カンテン</t>
    </rPh>
    <rPh sb="10" eb="11">
      <t>モト</t>
    </rPh>
    <rPh sb="14" eb="16">
      <t>セイビ</t>
    </rPh>
    <rPh sb="16" eb="18">
      <t>リユウ</t>
    </rPh>
    <rPh sb="19" eb="21">
      <t>キサイ</t>
    </rPh>
    <phoneticPr fontId="1"/>
  </si>
  <si>
    <t>【経費内訳】</t>
    <rPh sb="1" eb="3">
      <t>ケイヒ</t>
    </rPh>
    <rPh sb="3" eb="5">
      <t>ウチワケ</t>
    </rPh>
    <phoneticPr fontId="1"/>
  </si>
  <si>
    <t>発熱外来診療の実施に供するため整備するものであること。</t>
    <rPh sb="7" eb="9">
      <t>ジッシ</t>
    </rPh>
    <rPh sb="10" eb="11">
      <t>キョウ</t>
    </rPh>
    <rPh sb="15" eb="17">
      <t>セイビ</t>
    </rPh>
    <phoneticPr fontId="1"/>
  </si>
  <si>
    <t>計</t>
    <phoneticPr fontId="1"/>
  </si>
  <si>
    <t>検温機能及び消毒液の噴霧機能付きであること。</t>
    <rPh sb="0" eb="2">
      <t>ケンオン</t>
    </rPh>
    <rPh sb="2" eb="4">
      <t>キノウ</t>
    </rPh>
    <rPh sb="4" eb="5">
      <t>オヨ</t>
    </rPh>
    <rPh sb="6" eb="8">
      <t>ショウドク</t>
    </rPh>
    <rPh sb="8" eb="9">
      <t>エキ</t>
    </rPh>
    <rPh sb="10" eb="12">
      <t>フンム</t>
    </rPh>
    <rPh sb="12" eb="14">
      <t>キノウ</t>
    </rPh>
    <rPh sb="14" eb="15">
      <t>ツ</t>
    </rPh>
    <phoneticPr fontId="1"/>
  </si>
  <si>
    <t>医療機器（パルスオキシメーター等）
非接触サーモグラフィーカメラ（検温・消毒機能付き）
換気設備設置のための軽微な改修等の修繕費</t>
    <rPh sb="0" eb="4">
      <t>イリョウキキ</t>
    </rPh>
    <rPh sb="15" eb="16">
      <t>トウ</t>
    </rPh>
    <phoneticPr fontId="1"/>
  </si>
  <si>
    <t>換気設備</t>
    <rPh sb="0" eb="2">
      <t>カンキ</t>
    </rPh>
    <rPh sb="2" eb="4">
      <t>セツビ</t>
    </rPh>
    <phoneticPr fontId="1"/>
  </si>
  <si>
    <t>修繕費であることから、以下の要件を満たすものであること。</t>
    <rPh sb="0" eb="3">
      <t>シュウゼンヒ</t>
    </rPh>
    <rPh sb="11" eb="13">
      <t>イカ</t>
    </rPh>
    <rPh sb="14" eb="16">
      <t>ヨウケン</t>
    </rPh>
    <rPh sb="17" eb="18">
      <t>ミ</t>
    </rPh>
    <phoneticPr fontId="1"/>
  </si>
  <si>
    <t>・既に整備されている換気設備の修繕（故障した状態からの原状回復等）であること。</t>
    <rPh sb="1" eb="2">
      <t>スデ</t>
    </rPh>
    <rPh sb="3" eb="5">
      <t>セイビ</t>
    </rPh>
    <rPh sb="10" eb="12">
      <t>カンキ</t>
    </rPh>
    <rPh sb="12" eb="14">
      <t>セツビ</t>
    </rPh>
    <rPh sb="15" eb="17">
      <t>シュウゼン</t>
    </rPh>
    <rPh sb="18" eb="20">
      <t>コショウ</t>
    </rPh>
    <rPh sb="22" eb="24">
      <t>ジョウタイ</t>
    </rPh>
    <rPh sb="27" eb="29">
      <t>ゲンジョウ</t>
    </rPh>
    <rPh sb="29" eb="31">
      <t>カイフク</t>
    </rPh>
    <rPh sb="31" eb="32">
      <t>トウ</t>
    </rPh>
    <phoneticPr fontId="1"/>
  </si>
  <si>
    <t>・取替えの場合、既設設備と同一性能（排気能力等）のものへの通常の取替えを行う際の金額が補助対象であること。</t>
    <rPh sb="1" eb="3">
      <t>トリカ</t>
    </rPh>
    <rPh sb="5" eb="7">
      <t>バアイ</t>
    </rPh>
    <rPh sb="8" eb="10">
      <t>キセツ</t>
    </rPh>
    <rPh sb="10" eb="12">
      <t>セツビ</t>
    </rPh>
    <rPh sb="13" eb="15">
      <t>ドウイツ</t>
    </rPh>
    <rPh sb="15" eb="17">
      <t>セイノウ</t>
    </rPh>
    <rPh sb="18" eb="20">
      <t>ハイキ</t>
    </rPh>
    <rPh sb="20" eb="22">
      <t>ノウリョク</t>
    </rPh>
    <rPh sb="22" eb="23">
      <t>トウ</t>
    </rPh>
    <rPh sb="29" eb="31">
      <t>ツウジョウ</t>
    </rPh>
    <rPh sb="32" eb="34">
      <t>トリカ</t>
    </rPh>
    <rPh sb="36" eb="37">
      <t>オコナ</t>
    </rPh>
    <rPh sb="38" eb="39">
      <t>サイ</t>
    </rPh>
    <rPh sb="40" eb="42">
      <t>キンガク</t>
    </rPh>
    <rPh sb="43" eb="45">
      <t>ホジョ</t>
    </rPh>
    <rPh sb="45" eb="47">
      <t>タイショウ</t>
    </rPh>
    <phoneticPr fontId="1"/>
  </si>
  <si>
    <t>（性能を上回るものに取替えを行った際、通常の取替えを行う場合の経費を把握する必要があるため、当該見積書の提出が必要であること。）</t>
    <rPh sb="1" eb="3">
      <t>セイノウ</t>
    </rPh>
    <rPh sb="4" eb="6">
      <t>ウワマワ</t>
    </rPh>
    <rPh sb="10" eb="12">
      <t>トリカ</t>
    </rPh>
    <rPh sb="14" eb="15">
      <t>オコナ</t>
    </rPh>
    <rPh sb="17" eb="18">
      <t>サイ</t>
    </rPh>
    <rPh sb="19" eb="21">
      <t>ツウジョウ</t>
    </rPh>
    <rPh sb="22" eb="24">
      <t>トリカ</t>
    </rPh>
    <rPh sb="26" eb="27">
      <t>オコナ</t>
    </rPh>
    <rPh sb="28" eb="30">
      <t>バアイ</t>
    </rPh>
    <rPh sb="31" eb="33">
      <t>ケイヒ</t>
    </rPh>
    <rPh sb="34" eb="36">
      <t>ハアク</t>
    </rPh>
    <rPh sb="38" eb="40">
      <t>ヒツヨウ</t>
    </rPh>
    <rPh sb="46" eb="48">
      <t>トウガイ</t>
    </rPh>
    <rPh sb="48" eb="51">
      <t>ミツモリショ</t>
    </rPh>
    <rPh sb="52" eb="54">
      <t>テイシュツ</t>
    </rPh>
    <rPh sb="55" eb="57">
      <t>ヒツヨウ</t>
    </rPh>
    <phoneticPr fontId="1"/>
  </si>
  <si>
    <t>・費用の総額（取替えの場合は設備本体、及び取り付け設置費あるいは修理費の総額）が20万円未満であること。</t>
    <rPh sb="1" eb="3">
      <t>ヒヨウ</t>
    </rPh>
    <rPh sb="4" eb="6">
      <t>ソウガク</t>
    </rPh>
    <rPh sb="7" eb="9">
      <t>トリカ</t>
    </rPh>
    <rPh sb="11" eb="13">
      <t>バアイ</t>
    </rPh>
    <rPh sb="14" eb="16">
      <t>セツビ</t>
    </rPh>
    <rPh sb="16" eb="18">
      <t>ホンタイ</t>
    </rPh>
    <rPh sb="19" eb="20">
      <t>オヨ</t>
    </rPh>
    <rPh sb="21" eb="22">
      <t>ト</t>
    </rPh>
    <rPh sb="23" eb="24">
      <t>ツ</t>
    </rPh>
    <rPh sb="25" eb="27">
      <t>セッチ</t>
    </rPh>
    <rPh sb="27" eb="28">
      <t>ヒ</t>
    </rPh>
    <rPh sb="32" eb="35">
      <t>シュウリヒ</t>
    </rPh>
    <rPh sb="36" eb="38">
      <t>ソウガク</t>
    </rPh>
    <rPh sb="42" eb="44">
      <t>マンエン</t>
    </rPh>
    <rPh sb="44" eb="46">
      <t>ミマン</t>
    </rPh>
    <phoneticPr fontId="1"/>
  </si>
  <si>
    <t>（費用総額が20万円を下回ることが前提であり、発生経費が20万円を上回る場合、修繕費と見なすことができないため補助対象外となること。）</t>
    <rPh sb="1" eb="3">
      <t>ヒヨウ</t>
    </rPh>
    <rPh sb="3" eb="5">
      <t>ソウガク</t>
    </rPh>
    <rPh sb="8" eb="10">
      <t>マンエン</t>
    </rPh>
    <rPh sb="11" eb="13">
      <t>シタマワ</t>
    </rPh>
    <rPh sb="17" eb="19">
      <t>ゼンテイ</t>
    </rPh>
    <rPh sb="23" eb="25">
      <t>ハッセイ</t>
    </rPh>
    <rPh sb="25" eb="27">
      <t>ケイヒ</t>
    </rPh>
    <rPh sb="30" eb="32">
      <t>マンエン</t>
    </rPh>
    <rPh sb="33" eb="35">
      <t>ウワマワ</t>
    </rPh>
    <rPh sb="36" eb="38">
      <t>バアイ</t>
    </rPh>
    <rPh sb="39" eb="42">
      <t>シュウゼンヒ</t>
    </rPh>
    <rPh sb="43" eb="44">
      <t>ミ</t>
    </rPh>
    <rPh sb="55" eb="57">
      <t>ホジョ</t>
    </rPh>
    <rPh sb="57" eb="59">
      <t>タイショウ</t>
    </rPh>
    <rPh sb="59" eb="60">
      <t>ガイ</t>
    </rPh>
    <phoneticPr fontId="1"/>
  </si>
  <si>
    <t>外来対応の実施に供するため整備するものであるため、診療スペース内における整備であること。</t>
    <rPh sb="0" eb="2">
      <t>ガイライ</t>
    </rPh>
    <rPh sb="2" eb="4">
      <t>タイオウ</t>
    </rPh>
    <rPh sb="5" eb="7">
      <t>ジッシ</t>
    </rPh>
    <rPh sb="8" eb="9">
      <t>キョウ</t>
    </rPh>
    <rPh sb="13" eb="15">
      <t>セイビ</t>
    </rPh>
    <rPh sb="25" eb="27">
      <t>シンリョウ</t>
    </rPh>
    <rPh sb="31" eb="32">
      <t>ナイ</t>
    </rPh>
    <rPh sb="36" eb="38">
      <t>セイビ</t>
    </rPh>
    <phoneticPr fontId="1"/>
  </si>
  <si>
    <t>【経費内訳】（細目毎の経費を記載の見積書または請求書を納入業者から徴取し、当該記載に準じて記入すること。）</t>
    <rPh sb="1" eb="3">
      <t>ケイヒ</t>
    </rPh>
    <rPh sb="3" eb="5">
      <t>ウチワケ</t>
    </rPh>
    <rPh sb="7" eb="9">
      <t>サイモク</t>
    </rPh>
    <rPh sb="9" eb="10">
      <t>ゴト</t>
    </rPh>
    <rPh sb="11" eb="13">
      <t>ケイヒ</t>
    </rPh>
    <rPh sb="14" eb="16">
      <t>キサイ</t>
    </rPh>
    <rPh sb="17" eb="20">
      <t>ミツモリショ</t>
    </rPh>
    <rPh sb="23" eb="26">
      <t>セイキュウショ</t>
    </rPh>
    <rPh sb="27" eb="29">
      <t>ノウニュウ</t>
    </rPh>
    <rPh sb="29" eb="31">
      <t>ギョウシャ</t>
    </rPh>
    <rPh sb="33" eb="35">
      <t>チョウシュ</t>
    </rPh>
    <rPh sb="37" eb="39">
      <t>トウガイ</t>
    </rPh>
    <rPh sb="39" eb="41">
      <t>キサイ</t>
    </rPh>
    <rPh sb="42" eb="43">
      <t>ジュン</t>
    </rPh>
    <rPh sb="45" eb="47">
      <t>キニュウ</t>
    </rPh>
    <phoneticPr fontId="1"/>
  </si>
  <si>
    <t>内訳</t>
    <rPh sb="0" eb="2">
      <t>ウチワケ</t>
    </rPh>
    <phoneticPr fontId="1"/>
  </si>
  <si>
    <t>☆郵送による提出書類</t>
    <rPh sb="1" eb="3">
      <t>ユウソウ</t>
    </rPh>
    <rPh sb="6" eb="8">
      <t>テイシュツ</t>
    </rPh>
    <rPh sb="8" eb="10">
      <t>ショルイ</t>
    </rPh>
    <phoneticPr fontId="1"/>
  </si>
  <si>
    <t>　□　カタログ</t>
    <phoneticPr fontId="1"/>
  </si>
  <si>
    <t>　□　納品書または請求書（品目、数量、単価、金額（税込税別明記）が記載されているもの。）</t>
    <rPh sb="3" eb="6">
      <t>ノウヒンショ</t>
    </rPh>
    <rPh sb="9" eb="12">
      <t>セイキュウショ</t>
    </rPh>
    <rPh sb="13" eb="15">
      <t>ヒンモク</t>
    </rPh>
    <rPh sb="16" eb="18">
      <t>スウリョウ</t>
    </rPh>
    <rPh sb="19" eb="21">
      <t>タンカ</t>
    </rPh>
    <rPh sb="22" eb="24">
      <t>キンガク</t>
    </rPh>
    <rPh sb="25" eb="27">
      <t>ゼイコミ</t>
    </rPh>
    <rPh sb="27" eb="29">
      <t>ゼイベツ</t>
    </rPh>
    <rPh sb="29" eb="31">
      <t>メイキ</t>
    </rPh>
    <rPh sb="33" eb="35">
      <t>キサイ</t>
    </rPh>
    <phoneticPr fontId="1"/>
  </si>
  <si>
    <t>　□　カタログ（取替えの場合。既設のものも含む。）</t>
    <rPh sb="8" eb="10">
      <t>トリカ</t>
    </rPh>
    <rPh sb="12" eb="14">
      <t>バアイ</t>
    </rPh>
    <rPh sb="15" eb="17">
      <t>キセツ</t>
    </rPh>
    <rPh sb="21" eb="22">
      <t>フク</t>
    </rPh>
    <phoneticPr fontId="1"/>
  </si>
  <si>
    <t>←総合判定</t>
    <rPh sb="1" eb="3">
      <t>ソウゴウ</t>
    </rPh>
    <rPh sb="3" eb="5">
      <t>ハンテイ</t>
    </rPh>
    <phoneticPr fontId="1"/>
  </si>
  <si>
    <t>税抜金額</t>
    <rPh sb="2" eb="4">
      <t>キンガク</t>
    </rPh>
    <phoneticPr fontId="1"/>
  </si>
  <si>
    <t>税込金額</t>
    <rPh sb="0" eb="2">
      <t>ゼイコミ</t>
    </rPh>
    <rPh sb="2" eb="4">
      <t>キンガク</t>
    </rPh>
    <phoneticPr fontId="1"/>
  </si>
  <si>
    <t>換気設備設置のための軽微な改修等の修繕費</t>
    <rPh sb="0" eb="2">
      <t>カンキ</t>
    </rPh>
    <rPh sb="2" eb="4">
      <t>セツビ</t>
    </rPh>
    <rPh sb="4" eb="6">
      <t>セッチ</t>
    </rPh>
    <rPh sb="10" eb="12">
      <t>ケイビ</t>
    </rPh>
    <rPh sb="13" eb="16">
      <t>カイシュウナド</t>
    </rPh>
    <rPh sb="17" eb="20">
      <t>シュウゼンヒ</t>
    </rPh>
    <phoneticPr fontId="1"/>
  </si>
  <si>
    <t>非接触サーモグラフィーカメラ
（検温・消毒機能付き）</t>
    <rPh sb="0" eb="1">
      <t>ヒ</t>
    </rPh>
    <rPh sb="1" eb="3">
      <t>セッショク</t>
    </rPh>
    <rPh sb="16" eb="18">
      <t>ケンオン</t>
    </rPh>
    <rPh sb="19" eb="21">
      <t>ショウドク</t>
    </rPh>
    <rPh sb="21" eb="23">
      <t>キノウ</t>
    </rPh>
    <rPh sb="23" eb="24">
      <t>ツ</t>
    </rPh>
    <phoneticPr fontId="1"/>
  </si>
  <si>
    <t>医療機器
（パルスオキシメーター等）</t>
    <rPh sb="0" eb="2">
      <t>イリョウ</t>
    </rPh>
    <rPh sb="2" eb="4">
      <t>キキ</t>
    </rPh>
    <rPh sb="16" eb="17">
      <t>ナド</t>
    </rPh>
    <phoneticPr fontId="1"/>
  </si>
  <si>
    <t>患者案内のための看板の設置料</t>
    <rPh sb="0" eb="2">
      <t>カンジャ</t>
    </rPh>
    <rPh sb="2" eb="4">
      <t>アンナイ</t>
    </rPh>
    <rPh sb="8" eb="10">
      <t>カンバン</t>
    </rPh>
    <rPh sb="11" eb="14">
      <t>セッチリョウ</t>
    </rPh>
    <phoneticPr fontId="1"/>
  </si>
  <si>
    <t xml:space="preserve"> ホームページ上に外来対応医療機関である
ことを明記するための改修費</t>
    <rPh sb="7" eb="8">
      <t>ジョウ</t>
    </rPh>
    <rPh sb="9" eb="11">
      <t>ガイライ</t>
    </rPh>
    <rPh sb="11" eb="13">
      <t>タイオウ</t>
    </rPh>
    <rPh sb="13" eb="15">
      <t>イリョウ</t>
    </rPh>
    <rPh sb="15" eb="17">
      <t>キカン</t>
    </rPh>
    <rPh sb="24" eb="26">
      <t>メイキ</t>
    </rPh>
    <rPh sb="31" eb="34">
      <t>カイシュウヒ</t>
    </rPh>
    <phoneticPr fontId="1"/>
  </si>
  <si>
    <t>月</t>
    <rPh sb="0" eb="1">
      <t>ガツ</t>
    </rPh>
    <phoneticPr fontId="1"/>
  </si>
  <si>
    <t xml:space="preserve">
ことを明記するための改修費</t>
    <rPh sb="4" eb="6">
      <t>メイキ</t>
    </rPh>
    <rPh sb="11" eb="14">
      <t>カイシュウヒ</t>
    </rPh>
    <phoneticPr fontId="1"/>
  </si>
  <si>
    <t>非接触サーモグラフィーカメラ</t>
    <rPh sb="0" eb="1">
      <t>ヒ</t>
    </rPh>
    <rPh sb="1" eb="3">
      <t>セッショク</t>
    </rPh>
    <phoneticPr fontId="1"/>
  </si>
  <si>
    <t xml:space="preserve"> ホームページ</t>
    <phoneticPr fontId="1"/>
  </si>
  <si>
    <t>換気設備修繕費</t>
    <rPh sb="0" eb="2">
      <t>カンキ</t>
    </rPh>
    <rPh sb="2" eb="4">
      <t>セツビ</t>
    </rPh>
    <rPh sb="4" eb="7">
      <t>シュウゼンヒ</t>
    </rPh>
    <phoneticPr fontId="1"/>
  </si>
  <si>
    <t>医療機器</t>
    <rPh sb="0" eb="2">
      <t>イリョウ</t>
    </rPh>
    <rPh sb="2" eb="4">
      <t>キキ</t>
    </rPh>
    <phoneticPr fontId="1"/>
  </si>
  <si>
    <t>最終納品日</t>
    <rPh sb="0" eb="2">
      <t>サイシュウ</t>
    </rPh>
    <rPh sb="2" eb="5">
      <t>ノウヒンビ</t>
    </rPh>
    <phoneticPr fontId="1"/>
  </si>
  <si>
    <t>個別</t>
    <rPh sb="0" eb="2">
      <t>コベツ</t>
    </rPh>
    <phoneticPr fontId="1"/>
  </si>
  <si>
    <t>総合</t>
    <rPh sb="0" eb="2">
      <t>ソウゴウ</t>
    </rPh>
    <phoneticPr fontId="1"/>
  </si>
  <si>
    <t>新型コロナウイルス発熱外来対応の実施曜日（診療日か休診日か）を入力してください。</t>
    <rPh sb="0" eb="2">
      <t>シンガタ</t>
    </rPh>
    <rPh sb="9" eb="11">
      <t>ハツネツ</t>
    </rPh>
    <rPh sb="11" eb="13">
      <t>ガイライ</t>
    </rPh>
    <rPh sb="13" eb="15">
      <t>タイオウ</t>
    </rPh>
    <rPh sb="16" eb="18">
      <t>ジッシ</t>
    </rPh>
    <rPh sb="18" eb="20">
      <t>ヨウビ</t>
    </rPh>
    <rPh sb="21" eb="24">
      <t>シンリョウビ</t>
    </rPh>
    <rPh sb="31" eb="33">
      <t>ニュウリョク</t>
    </rPh>
    <phoneticPr fontId="1"/>
  </si>
  <si>
    <t>新型コロナウイルス発熱外来対応を行う時間帯の設定について選択してください。</t>
    <rPh sb="16" eb="17">
      <t>オコナ</t>
    </rPh>
    <rPh sb="18" eb="21">
      <t>ジカンタイ</t>
    </rPh>
    <rPh sb="22" eb="24">
      <t>セッテイ</t>
    </rPh>
    <rPh sb="28" eb="30">
      <t>センタク</t>
    </rPh>
    <phoneticPr fontId="1"/>
  </si>
  <si>
    <t>一般外来対応の時間帯と別枠の時間帯を設けて実施</t>
    <rPh sb="0" eb="2">
      <t>イッパン</t>
    </rPh>
    <rPh sb="2" eb="4">
      <t>ガイライ</t>
    </rPh>
    <rPh sb="4" eb="6">
      <t>タイオウ</t>
    </rPh>
    <rPh sb="7" eb="10">
      <t>ジカンタイ</t>
    </rPh>
    <rPh sb="11" eb="13">
      <t>ベツワク</t>
    </rPh>
    <rPh sb="14" eb="17">
      <t>ジカンタイ</t>
    </rPh>
    <rPh sb="18" eb="19">
      <t>モウ</t>
    </rPh>
    <rPh sb="21" eb="23">
      <t>ジッシ</t>
    </rPh>
    <phoneticPr fontId="1"/>
  </si>
  <si>
    <t>一般外来対応時間帯の中で、随時応需</t>
    <rPh sb="0" eb="2">
      <t>イッパン</t>
    </rPh>
    <rPh sb="2" eb="4">
      <t>ガイライ</t>
    </rPh>
    <rPh sb="4" eb="6">
      <t>タイオウ</t>
    </rPh>
    <rPh sb="6" eb="9">
      <t>ジカンタイ</t>
    </rPh>
    <rPh sb="10" eb="11">
      <t>ナカ</t>
    </rPh>
    <rPh sb="13" eb="15">
      <t>ズイジ</t>
    </rPh>
    <rPh sb="15" eb="17">
      <t>オウジュ</t>
    </rPh>
    <phoneticPr fontId="1"/>
  </si>
  <si>
    <t>新型コロナウイルス発熱外来対応を行う医師及び看護師の１日あたりの平均配置人数を入力してください。</t>
    <rPh sb="16" eb="17">
      <t>オコナ</t>
    </rPh>
    <rPh sb="18" eb="20">
      <t>イシ</t>
    </rPh>
    <rPh sb="20" eb="21">
      <t>オヨ</t>
    </rPh>
    <rPh sb="22" eb="25">
      <t>カンゴシ</t>
    </rPh>
    <rPh sb="27" eb="28">
      <t>ニチ</t>
    </rPh>
    <rPh sb="32" eb="34">
      <t>ヘイキン</t>
    </rPh>
    <rPh sb="34" eb="36">
      <t>ハイチ</t>
    </rPh>
    <rPh sb="36" eb="38">
      <t>ニンズウ</t>
    </rPh>
    <rPh sb="39" eb="41">
      <t>ニュウリョク</t>
    </rPh>
    <phoneticPr fontId="1"/>
  </si>
  <si>
    <t>医師</t>
    <rPh sb="0" eb="2">
      <t>イシ</t>
    </rPh>
    <phoneticPr fontId="1"/>
  </si>
  <si>
    <t>看護師</t>
    <rPh sb="0" eb="3">
      <t>カンゴシ</t>
    </rPh>
    <phoneticPr fontId="1"/>
  </si>
  <si>
    <t>新型コロナウイルス発熱外来対応を行う診療スペースの個所数及び形態について選択してください。</t>
    <rPh sb="18" eb="20">
      <t>シンリョウ</t>
    </rPh>
    <rPh sb="25" eb="27">
      <t>カショ</t>
    </rPh>
    <rPh sb="27" eb="28">
      <t>スウ</t>
    </rPh>
    <rPh sb="28" eb="29">
      <t>オヨ</t>
    </rPh>
    <rPh sb="30" eb="32">
      <t>ケイタイ</t>
    </rPh>
    <rPh sb="36" eb="38">
      <t>センタク</t>
    </rPh>
    <phoneticPr fontId="1"/>
  </si>
  <si>
    <t>ア　個所数</t>
    <rPh sb="2" eb="4">
      <t>カショ</t>
    </rPh>
    <rPh sb="4" eb="5">
      <t>スウ</t>
    </rPh>
    <phoneticPr fontId="1"/>
  </si>
  <si>
    <t>イ　診療スペースの形態</t>
    <rPh sb="2" eb="4">
      <t>シンリョウ</t>
    </rPh>
    <rPh sb="9" eb="11">
      <t>ケイタイ</t>
    </rPh>
    <phoneticPr fontId="1"/>
  </si>
  <si>
    <t>屋外に簡易診療スペースを設けて実施</t>
    <rPh sb="0" eb="2">
      <t>オクガイ</t>
    </rPh>
    <rPh sb="3" eb="5">
      <t>カンイ</t>
    </rPh>
    <rPh sb="5" eb="7">
      <t>シンリョウ</t>
    </rPh>
    <rPh sb="12" eb="13">
      <t>モウ</t>
    </rPh>
    <rPh sb="15" eb="17">
      <t>ジッシ</t>
    </rPh>
    <phoneticPr fontId="1"/>
  </si>
  <si>
    <t>院内診察室で実施</t>
    <rPh sb="0" eb="2">
      <t>インナイ</t>
    </rPh>
    <rPh sb="2" eb="4">
      <t>シンサツ</t>
    </rPh>
    <rPh sb="4" eb="5">
      <t>シツ</t>
    </rPh>
    <rPh sb="6" eb="8">
      <t>ジッシ</t>
    </rPh>
    <phoneticPr fontId="1"/>
  </si>
  <si>
    <t>（備考）複数個所毎に形態が異なるあるいは「その他」を選択した際、詳細を記入してください。</t>
    <rPh sb="1" eb="3">
      <t>ビコウ</t>
    </rPh>
    <rPh sb="4" eb="6">
      <t>フクスウ</t>
    </rPh>
    <rPh sb="6" eb="8">
      <t>カショ</t>
    </rPh>
    <rPh sb="8" eb="9">
      <t>ゴト</t>
    </rPh>
    <rPh sb="10" eb="12">
      <t>ケイタイ</t>
    </rPh>
    <rPh sb="13" eb="14">
      <t>コト</t>
    </rPh>
    <rPh sb="23" eb="24">
      <t>タ</t>
    </rPh>
    <rPh sb="26" eb="28">
      <t>センタク</t>
    </rPh>
    <rPh sb="30" eb="31">
      <t>サイ</t>
    </rPh>
    <rPh sb="32" eb="34">
      <t>ショウサイ</t>
    </rPh>
    <rPh sb="35" eb="37">
      <t>キニュウ</t>
    </rPh>
    <phoneticPr fontId="1"/>
  </si>
  <si>
    <t>これまでの新型コロナウイルス感染症疑い患者の外来対応を行った実績（応需患者数）を入力してください。</t>
    <rPh sb="5" eb="7">
      <t>シンガタ</t>
    </rPh>
    <rPh sb="14" eb="17">
      <t>カンセンショウ</t>
    </rPh>
    <rPh sb="17" eb="18">
      <t>ウタガ</t>
    </rPh>
    <rPh sb="19" eb="21">
      <t>カンジャ</t>
    </rPh>
    <rPh sb="22" eb="24">
      <t>ガイライ</t>
    </rPh>
    <rPh sb="24" eb="26">
      <t>タイオウ</t>
    </rPh>
    <rPh sb="27" eb="28">
      <t>オコナ</t>
    </rPh>
    <rPh sb="30" eb="32">
      <t>ジッセキ</t>
    </rPh>
    <rPh sb="33" eb="35">
      <t>オウジュ</t>
    </rPh>
    <rPh sb="35" eb="38">
      <t>カンジャスウ</t>
    </rPh>
    <rPh sb="40" eb="42">
      <t>ニュウリョク</t>
    </rPh>
    <phoneticPr fontId="1"/>
  </si>
  <si>
    <t>１月</t>
    <rPh sb="1" eb="2">
      <t>ガツ</t>
    </rPh>
    <phoneticPr fontId="1"/>
  </si>
  <si>
    <t>２月</t>
  </si>
  <si>
    <t>３月</t>
  </si>
  <si>
    <t>４月</t>
  </si>
  <si>
    <t>５月</t>
  </si>
  <si>
    <t>６月</t>
  </si>
  <si>
    <t>７月</t>
  </si>
  <si>
    <t>８月</t>
  </si>
  <si>
    <t>９月</t>
  </si>
  <si>
    <t>月間において０人の場合は「０」と入力してください。</t>
    <rPh sb="0" eb="2">
      <t>ゲッカン</t>
    </rPh>
    <rPh sb="7" eb="8">
      <t>ニン</t>
    </rPh>
    <rPh sb="9" eb="11">
      <t>バアイ</t>
    </rPh>
    <rPh sb="16" eb="18">
      <t>ニュウリョク</t>
    </rPh>
    <phoneticPr fontId="1"/>
  </si>
  <si>
    <t>なお、記載の実績数について確認する必要があると判断した際には診療報酬明細書の写しの提出を求めることがあります。</t>
    <rPh sb="3" eb="5">
      <t>キサイ</t>
    </rPh>
    <rPh sb="6" eb="8">
      <t>ジッセキ</t>
    </rPh>
    <rPh sb="8" eb="9">
      <t>スウ</t>
    </rPh>
    <rPh sb="13" eb="15">
      <t>カクニン</t>
    </rPh>
    <rPh sb="17" eb="19">
      <t>ヒツヨウ</t>
    </rPh>
    <rPh sb="23" eb="25">
      <t>ハンダン</t>
    </rPh>
    <rPh sb="27" eb="28">
      <t>サイ</t>
    </rPh>
    <rPh sb="30" eb="32">
      <t>シンリョウ</t>
    </rPh>
    <rPh sb="32" eb="34">
      <t>ホウシュウ</t>
    </rPh>
    <rPh sb="34" eb="37">
      <t>メイサイショ</t>
    </rPh>
    <rPh sb="38" eb="39">
      <t>ウツ</t>
    </rPh>
    <rPh sb="41" eb="43">
      <t>テイシュツ</t>
    </rPh>
    <rPh sb="44" eb="45">
      <t>モト</t>
    </rPh>
    <phoneticPr fontId="1"/>
  </si>
  <si>
    <t>外来患者が来院してから外来対応を行う際の手順の流れについて記入してください。</t>
    <rPh sb="0" eb="2">
      <t>ガイライ</t>
    </rPh>
    <rPh sb="2" eb="4">
      <t>カンジャ</t>
    </rPh>
    <rPh sb="5" eb="7">
      <t>ライイン</t>
    </rPh>
    <rPh sb="11" eb="13">
      <t>ガイライ</t>
    </rPh>
    <rPh sb="13" eb="15">
      <t>タイオウ</t>
    </rPh>
    <rPh sb="16" eb="17">
      <t>オコナ</t>
    </rPh>
    <rPh sb="18" eb="19">
      <t>サイ</t>
    </rPh>
    <rPh sb="20" eb="22">
      <t>テジュン</t>
    </rPh>
    <rPh sb="23" eb="24">
      <t>ナガ</t>
    </rPh>
    <rPh sb="29" eb="31">
      <t>キニュウ</t>
    </rPh>
    <phoneticPr fontId="1"/>
  </si>
  <si>
    <t>受付</t>
    <rPh sb="0" eb="2">
      <t>ウケツケ</t>
    </rPh>
    <phoneticPr fontId="1"/>
  </si>
  <si>
    <t>手順</t>
    <rPh sb="0" eb="2">
      <t>テジュン</t>
    </rPh>
    <phoneticPr fontId="1"/>
  </si>
  <si>
    <t>診察</t>
    <rPh sb="0" eb="2">
      <t>シンサツ</t>
    </rPh>
    <phoneticPr fontId="1"/>
  </si>
  <si>
    <t>検査</t>
    <rPh sb="0" eb="2">
      <t>ケンサ</t>
    </rPh>
    <phoneticPr fontId="1"/>
  </si>
  <si>
    <t>場所</t>
    <rPh sb="0" eb="2">
      <t>バショ</t>
    </rPh>
    <phoneticPr fontId="1"/>
  </si>
  <si>
    <t>屋外受付スペース</t>
    <rPh sb="0" eb="2">
      <t>オクガイ</t>
    </rPh>
    <rPh sb="2" eb="4">
      <t>ウケツケ</t>
    </rPh>
    <phoneticPr fontId="1"/>
  </si>
  <si>
    <t>院内受付</t>
    <rPh sb="0" eb="2">
      <t>インナイ</t>
    </rPh>
    <rPh sb="2" eb="4">
      <t>ウケツケ</t>
    </rPh>
    <phoneticPr fontId="1"/>
  </si>
  <si>
    <t>屋外の簡易診療スペース</t>
    <rPh sb="0" eb="2">
      <t>オクガイ</t>
    </rPh>
    <rPh sb="3" eb="5">
      <t>カンイ</t>
    </rPh>
    <rPh sb="5" eb="7">
      <t>シンリョウ</t>
    </rPh>
    <phoneticPr fontId="1"/>
  </si>
  <si>
    <t>屋外の検査スペース</t>
    <rPh sb="0" eb="2">
      <t>オクガイ</t>
    </rPh>
    <rPh sb="3" eb="5">
      <t>ケンサ</t>
    </rPh>
    <phoneticPr fontId="1"/>
  </si>
  <si>
    <t>屋内の検査室</t>
    <rPh sb="0" eb="2">
      <t>オクナイ</t>
    </rPh>
    <rPh sb="3" eb="6">
      <t>ケンサシツ</t>
    </rPh>
    <phoneticPr fontId="1"/>
  </si>
  <si>
    <t>屋内の診察室</t>
    <rPh sb="0" eb="2">
      <t>オクナイ</t>
    </rPh>
    <rPh sb="3" eb="5">
      <t>シンサツ</t>
    </rPh>
    <rPh sb="5" eb="6">
      <t>シツ</t>
    </rPh>
    <phoneticPr fontId="1"/>
  </si>
  <si>
    <t>対応者</t>
    <rPh sb="0" eb="2">
      <t>タイオウ</t>
    </rPh>
    <rPh sb="2" eb="3">
      <t>シャ</t>
    </rPh>
    <phoneticPr fontId="1"/>
  </si>
  <si>
    <t>事務員</t>
    <rPh sb="0" eb="3">
      <t>ジムイン</t>
    </rPh>
    <phoneticPr fontId="1"/>
  </si>
  <si>
    <t>実施内容</t>
    <rPh sb="0" eb="2">
      <t>ジッシ</t>
    </rPh>
    <rPh sb="2" eb="4">
      <t>ナイヨウ</t>
    </rPh>
    <phoneticPr fontId="1"/>
  </si>
  <si>
    <t>診療については、問診、聴診等の実施事項を列記し、実施方法（電話での問診等）も記入すること。</t>
    <rPh sb="0" eb="2">
      <t>シンリョウ</t>
    </rPh>
    <rPh sb="8" eb="10">
      <t>モンシン</t>
    </rPh>
    <rPh sb="11" eb="13">
      <t>チョウシン</t>
    </rPh>
    <rPh sb="13" eb="14">
      <t>トウ</t>
    </rPh>
    <rPh sb="15" eb="17">
      <t>ジッシ</t>
    </rPh>
    <rPh sb="17" eb="19">
      <t>ジコウ</t>
    </rPh>
    <rPh sb="20" eb="22">
      <t>レッキ</t>
    </rPh>
    <rPh sb="24" eb="26">
      <t>ジッシ</t>
    </rPh>
    <rPh sb="26" eb="28">
      <t>ホウホウ</t>
    </rPh>
    <rPh sb="29" eb="31">
      <t>デンワ</t>
    </rPh>
    <rPh sb="33" eb="35">
      <t>モンシン</t>
    </rPh>
    <rPh sb="35" eb="36">
      <t>トウ</t>
    </rPh>
    <rPh sb="38" eb="40">
      <t>キニュウ</t>
    </rPh>
    <phoneticPr fontId="1"/>
  </si>
  <si>
    <t>検査については、検体採取の方法（容器の手渡し、ぬぐい液の採取等）を検査種別（抗原検査、PCR検査）毎に記入すること。</t>
    <rPh sb="0" eb="2">
      <t>ケンサ</t>
    </rPh>
    <rPh sb="8" eb="10">
      <t>ケンタイ</t>
    </rPh>
    <rPh sb="10" eb="12">
      <t>サイシュ</t>
    </rPh>
    <rPh sb="13" eb="15">
      <t>ホウホウ</t>
    </rPh>
    <rPh sb="16" eb="18">
      <t>ヨウキ</t>
    </rPh>
    <rPh sb="19" eb="21">
      <t>テワタ</t>
    </rPh>
    <rPh sb="26" eb="27">
      <t>エキ</t>
    </rPh>
    <rPh sb="28" eb="30">
      <t>サイシュ</t>
    </rPh>
    <rPh sb="30" eb="31">
      <t>トウ</t>
    </rPh>
    <rPh sb="33" eb="35">
      <t>ケンサ</t>
    </rPh>
    <rPh sb="35" eb="37">
      <t>シュベツ</t>
    </rPh>
    <rPh sb="38" eb="40">
      <t>コウゲン</t>
    </rPh>
    <rPh sb="40" eb="42">
      <t>ケンサ</t>
    </rPh>
    <rPh sb="46" eb="48">
      <t>ケンサ</t>
    </rPh>
    <rPh sb="49" eb="50">
      <t>ゴト</t>
    </rPh>
    <rPh sb="51" eb="53">
      <t>キニュウ</t>
    </rPh>
    <phoneticPr fontId="1"/>
  </si>
  <si>
    <t>×</t>
    <phoneticPr fontId="1"/>
  </si>
  <si>
    <t>適切に入力がされました。</t>
    <rPh sb="0" eb="2">
      <t>テキセツ</t>
    </rPh>
    <rPh sb="3" eb="5">
      <t>ニュウリョク</t>
    </rPh>
    <phoneticPr fontId="1"/>
  </si>
  <si>
    <t>【要修正】未入力または入力不十分の箇所があります。</t>
    <rPh sb="1" eb="2">
      <t>ヨウ</t>
    </rPh>
    <rPh sb="2" eb="4">
      <t>シュウセイ</t>
    </rPh>
    <rPh sb="5" eb="8">
      <t>ミニュウリョク</t>
    </rPh>
    <rPh sb="11" eb="16">
      <t>ニュウリョクフジュウブン</t>
    </rPh>
    <rPh sb="17" eb="19">
      <t>カショ</t>
    </rPh>
    <phoneticPr fontId="1"/>
  </si>
  <si>
    <t>基本情報</t>
    <rPh sb="0" eb="2">
      <t>キホン</t>
    </rPh>
    <rPh sb="2" eb="4">
      <t>ジョウホウ</t>
    </rPh>
    <phoneticPr fontId="1"/>
  </si>
  <si>
    <t>　申請者は、以下いずれの事項にも該当するものであることを申し立てます。
□　補助を受ける経費について他の補助金等の交付を受けていないこと。
□　外来対応医療機関として指定を受けてから少なくとも令和５年度中は指定継続の上、外来対応を行うこと。
□　令和５年度中に外来対応医療機関の指定が解除された際、本補助金の交付申請を取り下げること。
□　本補助金により整備した設備は新型コロナウイルス感染症対策の目的以外に使用しないこと。
□　本補助金の収入、支出等に係る証拠書類を５年間適切に整備保管すること。
□　暴力団員又は暴力団関係者と実質的を含めいかなる関係も有していないこと。</t>
    <rPh sb="1" eb="3">
      <t>シンセイ</t>
    </rPh>
    <rPh sb="6" eb="8">
      <t>イカ</t>
    </rPh>
    <rPh sb="12" eb="14">
      <t>ジコウ</t>
    </rPh>
    <rPh sb="16" eb="18">
      <t>ガイトウ</t>
    </rPh>
    <rPh sb="28" eb="29">
      <t>モウ</t>
    </rPh>
    <rPh sb="30" eb="31">
      <t>タ</t>
    </rPh>
    <rPh sb="170" eb="171">
      <t>ホン</t>
    </rPh>
    <rPh sb="171" eb="174">
      <t>ホジョキン</t>
    </rPh>
    <rPh sb="177" eb="179">
      <t>セイビ</t>
    </rPh>
    <rPh sb="184" eb="186">
      <t>シンガタ</t>
    </rPh>
    <rPh sb="193" eb="196">
      <t>カンセンショウ</t>
    </rPh>
    <rPh sb="196" eb="198">
      <t>タイサク</t>
    </rPh>
    <rPh sb="199" eb="201">
      <t>モクテキ</t>
    </rPh>
    <rPh sb="202" eb="203">
      <t>ガイ</t>
    </rPh>
    <rPh sb="204" eb="206">
      <t>シヨウ</t>
    </rPh>
    <rPh sb="215" eb="216">
      <t>ホン</t>
    </rPh>
    <rPh sb="256" eb="257">
      <t>マタ</t>
    </rPh>
    <phoneticPr fontId="1"/>
  </si>
  <si>
    <r>
      <t xml:space="preserve">　申請者は、以下いずれの事項にも該当するものであることを申し立てます。
</t>
    </r>
    <r>
      <rPr>
        <b/>
        <sz val="11"/>
        <color theme="1"/>
        <rFont val="Segoe UI Symbol"/>
        <family val="2"/>
      </rPr>
      <t>☑</t>
    </r>
    <r>
      <rPr>
        <b/>
        <sz val="11"/>
        <color theme="1"/>
        <rFont val="游ゴシック"/>
        <family val="3"/>
        <charset val="128"/>
        <scheme val="minor"/>
      </rPr>
      <t xml:space="preserve">　補助を受ける経費について他の補助金等の交付を受けていないこと。
</t>
    </r>
    <r>
      <rPr>
        <b/>
        <sz val="11"/>
        <color theme="1"/>
        <rFont val="Segoe UI Symbol"/>
        <family val="3"/>
      </rPr>
      <t>☑</t>
    </r>
    <r>
      <rPr>
        <b/>
        <sz val="11"/>
        <color theme="1"/>
        <rFont val="游ゴシック"/>
        <family val="3"/>
        <charset val="128"/>
        <scheme val="minor"/>
      </rPr>
      <t xml:space="preserve">　外来対応医療機関として指定を受けてから少なくとも令和５年度中は指定継続の上、外来対応を行うこと。
</t>
    </r>
    <r>
      <rPr>
        <b/>
        <sz val="11"/>
        <color theme="1"/>
        <rFont val="Segoe UI Symbol"/>
        <family val="3"/>
      </rPr>
      <t>☑</t>
    </r>
    <r>
      <rPr>
        <b/>
        <sz val="11"/>
        <color theme="1"/>
        <rFont val="游ゴシック"/>
        <family val="3"/>
        <charset val="128"/>
        <scheme val="minor"/>
      </rPr>
      <t xml:space="preserve">　令和５年度中に外来対応医療機関の指定が解除された際、本補助金の交付申請を取り下げること。
</t>
    </r>
    <r>
      <rPr>
        <b/>
        <sz val="11"/>
        <color theme="1"/>
        <rFont val="Segoe UI Symbol"/>
        <family val="2"/>
      </rPr>
      <t>☑</t>
    </r>
    <r>
      <rPr>
        <b/>
        <sz val="11"/>
        <color theme="1"/>
        <rFont val="游ゴシック"/>
        <family val="3"/>
        <charset val="128"/>
        <scheme val="minor"/>
      </rPr>
      <t xml:space="preserve">　本補助金により整備の物品は新型コロナウイルス感染症対策の目的以外に使用しないこと。
</t>
    </r>
    <r>
      <rPr>
        <b/>
        <sz val="11"/>
        <color theme="1"/>
        <rFont val="Segoe UI Symbol"/>
        <family val="2"/>
      </rPr>
      <t>☑</t>
    </r>
    <r>
      <rPr>
        <b/>
        <sz val="11"/>
        <color theme="1"/>
        <rFont val="游ゴシック"/>
        <family val="3"/>
        <charset val="128"/>
        <scheme val="minor"/>
      </rPr>
      <t xml:space="preserve">　本補助金の収入、支出等に係る証拠書類を５年間適切に整備保管すること。
</t>
    </r>
    <r>
      <rPr>
        <b/>
        <sz val="11"/>
        <color theme="1"/>
        <rFont val="Segoe UI Symbol"/>
        <family val="2"/>
      </rPr>
      <t>☑</t>
    </r>
    <r>
      <rPr>
        <b/>
        <sz val="11"/>
        <color theme="1"/>
        <rFont val="游ゴシック"/>
        <family val="3"/>
        <charset val="128"/>
        <scheme val="minor"/>
      </rPr>
      <t>　暴力団員又は暴力団関係者と実質的を含めいかなる関係も有していないこと。</t>
    </r>
    <rPh sb="1" eb="3">
      <t>シンセイ</t>
    </rPh>
    <rPh sb="6" eb="8">
      <t>イカ</t>
    </rPh>
    <rPh sb="12" eb="14">
      <t>ジコウ</t>
    </rPh>
    <rPh sb="16" eb="18">
      <t>ガイトウ</t>
    </rPh>
    <rPh sb="28" eb="29">
      <t>モウ</t>
    </rPh>
    <rPh sb="30" eb="31">
      <t>タ</t>
    </rPh>
    <rPh sb="170" eb="171">
      <t>ホン</t>
    </rPh>
    <rPh sb="171" eb="174">
      <t>ホジョキン</t>
    </rPh>
    <rPh sb="200" eb="202">
      <t>イガイ</t>
    </rPh>
    <rPh sb="214" eb="215">
      <t>ホン</t>
    </rPh>
    <rPh sb="255" eb="256">
      <t>マタ</t>
    </rPh>
    <phoneticPr fontId="1"/>
  </si>
  <si>
    <t>（取替えを行う場合は既設及び新設設備の製品仕様を確認できるカタログ等の提出が必要であること。）</t>
    <rPh sb="1" eb="3">
      <t>トリカ</t>
    </rPh>
    <rPh sb="5" eb="6">
      <t>オコナ</t>
    </rPh>
    <rPh sb="7" eb="9">
      <t>バアイ</t>
    </rPh>
    <rPh sb="10" eb="12">
      <t>キセツ</t>
    </rPh>
    <rPh sb="12" eb="13">
      <t>オヨ</t>
    </rPh>
    <rPh sb="14" eb="16">
      <t>シンセツ</t>
    </rPh>
    <rPh sb="16" eb="18">
      <t>セツビ</t>
    </rPh>
    <rPh sb="19" eb="21">
      <t>セイヒン</t>
    </rPh>
    <rPh sb="21" eb="23">
      <t>シヨウ</t>
    </rPh>
    <rPh sb="24" eb="26">
      <t>カクニン</t>
    </rPh>
    <rPh sb="33" eb="34">
      <t>トウ</t>
    </rPh>
    <rPh sb="35" eb="37">
      <t>テイシュツ</t>
    </rPh>
    <rPh sb="38" eb="40">
      <t>ヒツヨウ</t>
    </rPh>
    <phoneticPr fontId="1"/>
  </si>
  <si>
    <t>縦(cm)</t>
    <rPh sb="0" eb="1">
      <t>タテ</t>
    </rPh>
    <phoneticPr fontId="1"/>
  </si>
  <si>
    <t>税抜単価</t>
    <rPh sb="0" eb="2">
      <t>ゼイヌキ</t>
    </rPh>
    <rPh sb="2" eb="4">
      <t>タンカ</t>
    </rPh>
    <phoneticPr fontId="1"/>
  </si>
  <si>
    <t>　□　設置個所図面及び設置状況が判る写真（他の整備品目がある場合、一括で作成して構わない。)</t>
    <rPh sb="3" eb="5">
      <t>セッチ</t>
    </rPh>
    <rPh sb="5" eb="7">
      <t>カショ</t>
    </rPh>
    <rPh sb="7" eb="9">
      <t>ズメン</t>
    </rPh>
    <rPh sb="9" eb="10">
      <t>オヨ</t>
    </rPh>
    <rPh sb="11" eb="13">
      <t>セッチ</t>
    </rPh>
    <rPh sb="13" eb="15">
      <t>ジョウキョウ</t>
    </rPh>
    <rPh sb="16" eb="17">
      <t>ワカ</t>
    </rPh>
    <rPh sb="18" eb="20">
      <t>シャシン</t>
    </rPh>
    <rPh sb="21" eb="22">
      <t>タ</t>
    </rPh>
    <rPh sb="23" eb="25">
      <t>セイビ</t>
    </rPh>
    <rPh sb="25" eb="27">
      <t>ヒンモク</t>
    </rPh>
    <rPh sb="30" eb="32">
      <t>バアイ</t>
    </rPh>
    <rPh sb="33" eb="35">
      <t>イッカツ</t>
    </rPh>
    <rPh sb="36" eb="38">
      <t>サクセイ</t>
    </rPh>
    <rPh sb="40" eb="41">
      <t>カマ</t>
    </rPh>
    <phoneticPr fontId="1"/>
  </si>
  <si>
    <t>面積（㎠）</t>
    <rPh sb="0" eb="2">
      <t>メンセキ</t>
    </rPh>
    <phoneticPr fontId="1"/>
  </si>
  <si>
    <t>１.普通２.当座</t>
    <rPh sb="2" eb="4">
      <t>フツウ</t>
    </rPh>
    <rPh sb="6" eb="8">
      <t>トウザ</t>
    </rPh>
    <phoneticPr fontId="1"/>
  </si>
  <si>
    <t>　□　設置個所図面及び設置状況が判る写真（他の整備品目がある場合、一括で作成して構わない。）</t>
    <rPh sb="3" eb="5">
      <t>セッチ</t>
    </rPh>
    <rPh sb="5" eb="7">
      <t>カショ</t>
    </rPh>
    <rPh sb="7" eb="9">
      <t>ズメン</t>
    </rPh>
    <rPh sb="9" eb="10">
      <t>オヨ</t>
    </rPh>
    <rPh sb="11" eb="13">
      <t>セッチ</t>
    </rPh>
    <rPh sb="13" eb="15">
      <t>ジョウキョウ</t>
    </rPh>
    <rPh sb="16" eb="17">
      <t>ワカ</t>
    </rPh>
    <rPh sb="18" eb="20">
      <t>シャシン</t>
    </rPh>
    <rPh sb="21" eb="22">
      <t>タ</t>
    </rPh>
    <rPh sb="23" eb="25">
      <t>セイビ</t>
    </rPh>
    <rPh sb="25" eb="27">
      <t>ヒンモク</t>
    </rPh>
    <rPh sb="30" eb="32">
      <t>バアイ</t>
    </rPh>
    <rPh sb="33" eb="35">
      <t>イッカツ</t>
    </rPh>
    <rPh sb="36" eb="38">
      <t>サクセイ</t>
    </rPh>
    <rPh sb="40" eb="41">
      <t>カマ</t>
    </rPh>
    <phoneticPr fontId="1"/>
  </si>
  <si>
    <t>医療機器・サーモグラフィーカメラ・換気設備の助成申請を行う場合のみ</t>
    <rPh sb="0" eb="4">
      <t>イリョウキキ</t>
    </rPh>
    <rPh sb="17" eb="21">
      <t>カンキセツビ</t>
    </rPh>
    <rPh sb="22" eb="26">
      <t>ジョセイシンセイ</t>
    </rPh>
    <rPh sb="27" eb="28">
      <t>オコナ</t>
    </rPh>
    <rPh sb="29" eb="31">
      <t>バアイ</t>
    </rPh>
    <phoneticPr fontId="1"/>
  </si>
  <si>
    <t>医療機器・サーモグラフィーカメラ・換気設備</t>
    <rPh sb="0" eb="4">
      <t>イリョウキキ</t>
    </rPh>
    <rPh sb="17" eb="21">
      <t>カンキセツビ</t>
    </rPh>
    <phoneticPr fontId="1"/>
  </si>
  <si>
    <t>敷地内看板</t>
    <rPh sb="0" eb="5">
      <t>シキチナイカンバン</t>
    </rPh>
    <phoneticPr fontId="1"/>
  </si>
  <si>
    <t>３種類目</t>
    <rPh sb="1" eb="3">
      <t>シュルイ</t>
    </rPh>
    <rPh sb="3" eb="4">
      <t>メ</t>
    </rPh>
    <phoneticPr fontId="1"/>
  </si>
  <si>
    <t>４種類目</t>
    <rPh sb="1" eb="3">
      <t>シュルイ</t>
    </rPh>
    <rPh sb="3" eb="4">
      <t>メ</t>
    </rPh>
    <phoneticPr fontId="1"/>
  </si>
  <si>
    <t>番号</t>
    <rPh sb="0" eb="2">
      <t>バンゴウ</t>
    </rPh>
    <phoneticPr fontId="12"/>
  </si>
  <si>
    <t>確認の点</t>
    <rPh sb="0" eb="2">
      <t>カクニン</t>
    </rPh>
    <rPh sb="3" eb="4">
      <t>テン</t>
    </rPh>
    <phoneticPr fontId="12"/>
  </si>
  <si>
    <t>再確認の点</t>
    <rPh sb="0" eb="1">
      <t>サイ</t>
    </rPh>
    <rPh sb="1" eb="3">
      <t>カクニン</t>
    </rPh>
    <rPh sb="4" eb="5">
      <t>テン</t>
    </rPh>
    <phoneticPr fontId="12"/>
  </si>
  <si>
    <t>再回答</t>
    <rPh sb="0" eb="1">
      <t>サイ</t>
    </rPh>
    <rPh sb="1" eb="3">
      <t>カイトウ</t>
    </rPh>
    <phoneticPr fontId="12"/>
  </si>
  <si>
    <t>（１）最上段に例示と同様の記載を設けること。背景は黄色、橙等の警戒色、文字は黒、緑等の暗色とし総幅員のうちバナーを除いた部分を専有し総面積の15％以上とすること。
（２）以下の内容を記載し、これらの記載が占める面積はホームページ総面積の60％以上とすること。
・案内文（少なくともイメージ図の記載の要素を含めること。）
・病院情報（位置案内を含む。）
・電話番号
・位置図
・その他必要情報
（３）バナー部分を除いた総幅員を占有させて疑い患者発熱外来対応時間を記載すること。
　なお、専有割合は総面積の15％以上とすること。
（発熱外来応需以外の診療時間と混同しないこと。）
（４）A４用紙に倍率100パーセントで印刷した際に１枚に上記全ての情報が記載されること。</t>
    <rPh sb="57" eb="58">
      <t>ノゾ</t>
    </rPh>
    <rPh sb="60" eb="62">
      <t>ブブン</t>
    </rPh>
    <rPh sb="63" eb="65">
      <t>センユウ</t>
    </rPh>
    <rPh sb="86" eb="88">
      <t>イカ</t>
    </rPh>
    <rPh sb="89" eb="91">
      <t>ナイヨウ</t>
    </rPh>
    <rPh sb="100" eb="102">
      <t>キサイ</t>
    </rPh>
    <rPh sb="103" eb="104">
      <t>シ</t>
    </rPh>
    <rPh sb="106" eb="108">
      <t>メンセキ</t>
    </rPh>
    <rPh sb="132" eb="135">
      <t>アンナイブン</t>
    </rPh>
    <rPh sb="136" eb="137">
      <t>スク</t>
    </rPh>
    <rPh sb="145" eb="146">
      <t>ズ</t>
    </rPh>
    <rPh sb="147" eb="149">
      <t>キサイ</t>
    </rPh>
    <rPh sb="150" eb="152">
      <t>ヨウソ</t>
    </rPh>
    <rPh sb="153" eb="154">
      <t>フク</t>
    </rPh>
    <rPh sb="162" eb="166">
      <t>ビョウインジョウホウ</t>
    </rPh>
    <rPh sb="167" eb="171">
      <t>イチアンナイ</t>
    </rPh>
    <rPh sb="172" eb="173">
      <t>フク</t>
    </rPh>
    <rPh sb="191" eb="192">
      <t>タ</t>
    </rPh>
    <rPh sb="192" eb="196">
      <t>ヒツヨウジョウホウ</t>
    </rPh>
    <rPh sb="244" eb="248">
      <t>センユウワリアイ</t>
    </rPh>
    <rPh sb="296" eb="298">
      <t>ヨウシ</t>
    </rPh>
    <rPh sb="299" eb="301">
      <t>バイリツ</t>
    </rPh>
    <rPh sb="314" eb="315">
      <t>サイ</t>
    </rPh>
    <rPh sb="317" eb="318">
      <t>マイ</t>
    </rPh>
    <rPh sb="319" eb="321">
      <t>ジョウキ</t>
    </rPh>
    <rPh sb="321" eb="322">
      <t>スベ</t>
    </rPh>
    <rPh sb="324" eb="326">
      <t>ジョウホウ</t>
    </rPh>
    <rPh sb="327" eb="329">
      <t>キサイ</t>
    </rPh>
    <phoneticPr fontId="1"/>
  </si>
  <si>
    <t>（１）ア①</t>
    <phoneticPr fontId="1"/>
  </si>
  <si>
    <t>（１）ア②</t>
    <phoneticPr fontId="1"/>
  </si>
  <si>
    <t>基本情報シートに必要情報を入力してください。</t>
    <rPh sb="0" eb="2">
      <t>キホン</t>
    </rPh>
    <rPh sb="2" eb="4">
      <t>ジョウホウ</t>
    </rPh>
    <rPh sb="8" eb="10">
      <t>ヒツヨウ</t>
    </rPh>
    <rPh sb="10" eb="12">
      <t>ジョウホウ</t>
    </rPh>
    <rPh sb="13" eb="15">
      <t>ニュウリョク</t>
    </rPh>
    <phoneticPr fontId="1"/>
  </si>
  <si>
    <t>１．道路看板の場合
（１）最上段にイメージ図と同様の記載を設けること。背景は黄色、橙等の警戒色、文字は黒、緑等の暗色とし総幅員を専有し総面積の10%以上とすること。
（２）以下の点について記載し、これらの記載が占める面積は看板総面積の25%以上とすること。
・県指定「外来対応医療機関」   ・法人、医療機関名   ・電話番号   ・予約、診療体制に係る特記事項
（３）位置図(縮尺度)は、現在地を明示、設置個所に応じて1/500～1/1000とし、
　「直進○㎞、○○交差点を右折」等の文言を添え、総面積の20%以上とすること。
（４）最下段には看板総幅員を専有させ疑い患者発熱外来対応時間を記載、総面積の20%以上とすること。
　（発熱外来応需以外の診療時間と混同しないこと。）
２．敷地内看板の場合
（１）車両及び歩行者が公道の往来の際に明瞭に視認できる高さで製作・配置すること。
（２）最上段に例示と同様の記載を設けること。背景は黄色、橙等の警戒色、文字は黒、緑等の暗色とし総幅員を専有し総面積の15％以上とすること。
（３）以下の点について記載し、これらの記載が占める面積は看板総面積の30％以上とすること。
・県指定「外来対応医療機関」   ・法人、医療機関名   ・電話番号   ・予約、診療体制に係る特記事項
（４）最下段には看板総幅員を専有させ疑い患者発熱外来対応時間を記載、総面積の30％以上とすること。
　（発熱外来応需以外の診療時間と混同しないこと。）</t>
    <rPh sb="2" eb="6">
      <t>ドウロカンバン</t>
    </rPh>
    <rPh sb="7" eb="9">
      <t>バアイ</t>
    </rPh>
    <rPh sb="21" eb="22">
      <t>ズ</t>
    </rPh>
    <rPh sb="64" eb="66">
      <t>センユウ</t>
    </rPh>
    <rPh sb="86" eb="88">
      <t>イカ</t>
    </rPh>
    <rPh sb="89" eb="90">
      <t>テン</t>
    </rPh>
    <rPh sb="102" eb="104">
      <t>キサイ</t>
    </rPh>
    <rPh sb="105" eb="106">
      <t>シ</t>
    </rPh>
    <rPh sb="108" eb="110">
      <t>メンセキ</t>
    </rPh>
    <rPh sb="111" eb="113">
      <t>カンバン</t>
    </rPh>
    <rPh sb="147" eb="149">
      <t>ホウジン</t>
    </rPh>
    <rPh sb="280" eb="282">
      <t>センユウ</t>
    </rPh>
    <rPh sb="336" eb="341">
      <t>シキチナイカンバン</t>
    </rPh>
    <rPh sb="345" eb="348">
      <t>シャリョウオヨ</t>
    </rPh>
    <rPh sb="349" eb="352">
      <t>ホコウシャ</t>
    </rPh>
    <rPh sb="358" eb="360">
      <t>オウライ</t>
    </rPh>
    <rPh sb="361" eb="362">
      <t>サイ</t>
    </rPh>
    <rPh sb="363" eb="365">
      <t>メイリョウ</t>
    </rPh>
    <rPh sb="366" eb="368">
      <t>シニン</t>
    </rPh>
    <rPh sb="371" eb="372">
      <t>タカ</t>
    </rPh>
    <rPh sb="374" eb="376">
      <t>セイサク</t>
    </rPh>
    <rPh sb="377" eb="379">
      <t>ハイチ</t>
    </rPh>
    <rPh sb="445" eb="447">
      <t>センユウ</t>
    </rPh>
    <rPh sb="470" eb="471">
      <t>テン</t>
    </rPh>
    <rPh sb="528" eb="530">
      <t>ホウジン</t>
    </rPh>
    <rPh sb="577" eb="579">
      <t>センユウ</t>
    </rPh>
    <phoneticPr fontId="1"/>
  </si>
  <si>
    <t>医療機関名</t>
    <rPh sb="0" eb="2">
      <t>イリョウ</t>
    </rPh>
    <rPh sb="2" eb="4">
      <t>キカン</t>
    </rPh>
    <rPh sb="4" eb="5">
      <t>メイ</t>
    </rPh>
    <phoneticPr fontId="1"/>
  </si>
  <si>
    <t>位置情報・電話番号</t>
    <rPh sb="0" eb="4">
      <t>イチジョウホウ</t>
    </rPh>
    <rPh sb="5" eb="7">
      <t>デンワ</t>
    </rPh>
    <rPh sb="7" eb="9">
      <t>バンゴウ</t>
    </rPh>
    <phoneticPr fontId="1"/>
  </si>
  <si>
    <t>○標準仕様（詳細はHP掲載の標準仕様書を参照。仕様外のものは原則補助対象外となります。）</t>
    <rPh sb="1" eb="3">
      <t>ヒョウジュン</t>
    </rPh>
    <rPh sb="3" eb="5">
      <t>シヨウ</t>
    </rPh>
    <rPh sb="6" eb="8">
      <t>ショウサイ</t>
    </rPh>
    <rPh sb="11" eb="13">
      <t>ケイサイ</t>
    </rPh>
    <rPh sb="14" eb="19">
      <t>ヒョウジュンシヨウショ</t>
    </rPh>
    <rPh sb="20" eb="22">
      <t>サンショウ</t>
    </rPh>
    <rPh sb="23" eb="26">
      <t>シヨウガイ</t>
    </rPh>
    <rPh sb="30" eb="32">
      <t>ゲンソク</t>
    </rPh>
    <rPh sb="32" eb="37">
      <t>ホジョタイショウガイ</t>
    </rPh>
    <phoneticPr fontId="1"/>
  </si>
  <si>
    <t>金額</t>
    <rPh sb="0" eb="2">
      <t>キンガク</t>
    </rPh>
    <phoneticPr fontId="1"/>
  </si>
  <si>
    <t>なお、②については体温計または消毒噴霧器それぞれ単体での整備は補助対象外とする。</t>
    <rPh sb="9" eb="12">
      <t>タイオンケイ</t>
    </rPh>
    <rPh sb="15" eb="17">
      <t>ショウドク</t>
    </rPh>
    <rPh sb="17" eb="20">
      <t>フンムキ</t>
    </rPh>
    <rPh sb="24" eb="26">
      <t>タンタイ</t>
    </rPh>
    <rPh sb="28" eb="30">
      <t>セイビ</t>
    </rPh>
    <rPh sb="31" eb="33">
      <t>ホジョ</t>
    </rPh>
    <rPh sb="33" eb="35">
      <t>タイショウ</t>
    </rPh>
    <rPh sb="35" eb="36">
      <t>ガイ</t>
    </rPh>
    <phoneticPr fontId="1"/>
  </si>
  <si>
    <t>令和５年度　新型コロナウイルス感染症外来対応医療機関確保事業費補助金　事前協議書</t>
    <rPh sb="0" eb="2">
      <t>レイワ</t>
    </rPh>
    <rPh sb="3" eb="5">
      <t>ネンド</t>
    </rPh>
    <rPh sb="6" eb="8">
      <t>シンガタ</t>
    </rPh>
    <rPh sb="15" eb="18">
      <t>カンセンショウ</t>
    </rPh>
    <rPh sb="18" eb="22">
      <t>ガイライタイオウ</t>
    </rPh>
    <rPh sb="22" eb="26">
      <t>イリョウキカン</t>
    </rPh>
    <rPh sb="26" eb="28">
      <t>カクホ</t>
    </rPh>
    <rPh sb="28" eb="31">
      <t>ジギョウヒ</t>
    </rPh>
    <rPh sb="31" eb="34">
      <t>ホジョキン</t>
    </rPh>
    <rPh sb="35" eb="40">
      <t>ジゼンキョウギショ</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</si>
</sst>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_);[Red]\(#,##0\)"/>
    <numFmt numFmtId="177" formatCode="[$-411]ggge&quot;年&quot;m&quot;月&quot;d&quot;日&quot;;@"/>
    <numFmt numFmtId="178" formatCode="#,##0&quot;円&quot;;[Red]\(#,##0\)&quot;円&quot;"/>
    <numFmt numFmtId="179" formatCode="#,##0&quot;円&quot;"/>
    <numFmt numFmtId="180" formatCode="#,##0&quot;台&quot;"/>
    <numFmt numFmtId="181" formatCode="&quot;金&quot;#,##0&quot;円&quot;"/>
    <numFmt numFmtId="182" formatCode="&quot;金&quot;#,##0&quot;円&quot;\ "/>
    <numFmt numFmtId="183" formatCode="#,##0&quot;円&quot;\ "/>
    <numFmt numFmtId="184" formatCode="&quot;金&quot;#,##0&quot;円&quot;;&quot;△ &quot;&quot;金&quot;#,##0&quot;円&quot;"/>
    <numFmt numFmtId="185" formatCode="&quot;診&quot;&quot;検&quot;&quot;第&quot;0&quot;号&quot;\ "/>
    <numFmt numFmtId="186" formatCode="\(#,##0&quot;円&quot;\)"/>
    <numFmt numFmtId="187" formatCode="&quot;診&quot;&quot;検&quot;&quot;第&quot;0&quot;号&quot;"/>
    <numFmt numFmtId="188" formatCode="0_ "/>
    <numFmt numFmtId="189" formatCode="#,##0&quot;mm&quot;"/>
    <numFmt numFmtId="190" formatCode="0.00&quot;㎡&quot;"/>
    <numFmt numFmtId="191" formatCode="0.0%"/>
    <numFmt numFmtId="192" formatCode="#,##0&quot;か&quot;&quot;所&quot;"/>
    <numFmt numFmtId="193" formatCode="#,##0&quot;個&quot;"/>
    <numFmt numFmtId="194" formatCode="#,##0&quot;式&quot;"/>
    <numFmt numFmtId="195" formatCode="#,##0&quot;名&quot;"/>
    <numFmt numFmtId="196" formatCode="#,##0&quot;人&quot;"/>
    <numFmt numFmtId="197" formatCode="0.00&quot;㎠&quot;"/>
    <numFmt numFmtId="198" formatCode="#,##0.0&quot;cm&quot;"/>
  </numFmts>
  <fonts count="54"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b/>
      <sz val="12"/>
      <color rgb="FFFF0000"/>
      <name val="游ゴシック"/>
      <family val="3"/>
      <charset val="128"/>
      <scheme val="minor"/>
    </font>
    <font>
      <sz val="6"/>
      <name val="游ゴシック"/>
      <family val="3"/>
      <charset val="128"/>
      <scheme val="minor"/>
    </font>
    <font>
      <sz val="14"/>
      <color theme="1"/>
      <name val="游ゴシック"/>
      <family val="3"/>
      <charset val="128"/>
      <scheme val="minor"/>
    </font>
    <font>
      <b/>
      <sz val="14"/>
      <color rgb="FFFF0000"/>
      <name val="游ゴシック"/>
      <family val="3"/>
      <charset val="128"/>
      <scheme val="minor"/>
    </font>
    <font>
      <b/>
      <u val="double"/>
      <sz val="14"/>
      <color rgb="FFFF0000"/>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b/>
      <sz val="6"/>
      <color theme="1"/>
      <name val="游ゴシック"/>
      <family val="3"/>
      <charset val="128"/>
      <scheme val="minor"/>
    </font>
    <font>
      <b/>
      <sz val="18"/>
      <color theme="1"/>
      <name val="游ゴシック"/>
      <family val="3"/>
      <charset val="128"/>
      <scheme val="minor"/>
    </font>
    <font>
      <b/>
      <sz val="11"/>
      <name val="游ゴシック"/>
      <family val="3"/>
      <charset val="128"/>
      <scheme val="minor"/>
    </font>
    <font>
      <b/>
      <sz val="14"/>
      <name val="游ゴシック"/>
      <family val="3"/>
      <charset val="128"/>
      <scheme val="minor"/>
    </font>
    <font>
      <b/>
      <sz val="10.5"/>
      <name val="游ゴシック"/>
      <family val="3"/>
      <charset val="128"/>
      <scheme val="minor"/>
    </font>
    <font>
      <sz val="9"/>
      <color rgb="FFFF0000"/>
      <name val="游ゴシック"/>
      <family val="3"/>
      <charset val="128"/>
      <scheme val="minor"/>
    </font>
    <font>
      <b/>
      <u/>
      <sz val="11"/>
      <color theme="10"/>
      <name val="游ゴシック"/>
      <family val="3"/>
      <charset val="128"/>
      <scheme val="minor"/>
    </font>
    <font>
      <b/>
      <sz val="9"/>
      <color rgb="FFFFFF00"/>
      <name val="游ゴシック"/>
      <family val="3"/>
      <charset val="128"/>
      <scheme val="minor"/>
    </font>
    <font>
      <b/>
      <sz val="11"/>
      <color rgb="FFFFFF00"/>
      <name val="游ゴシック"/>
      <family val="3"/>
      <charset val="128"/>
      <scheme val="minor"/>
    </font>
    <font>
      <b/>
      <sz val="11"/>
      <color rgb="FF444444"/>
      <name val="游ゴシック"/>
      <family val="3"/>
      <charset val="128"/>
      <scheme val="minor"/>
    </font>
    <font>
      <sz val="10"/>
      <color theme="1"/>
      <name val="游ゴシック"/>
      <family val="3"/>
      <charset val="128"/>
      <scheme val="minor"/>
    </font>
    <font>
      <b/>
      <sz val="9"/>
      <color theme="1"/>
      <name val="游ゴシック"/>
      <family val="3"/>
      <charset val="128"/>
      <scheme val="minor"/>
    </font>
    <font>
      <b/>
      <sz val="10"/>
      <name val="游ゴシック"/>
      <family val="3"/>
      <charset val="128"/>
      <scheme val="minor"/>
    </font>
    <font>
      <b/>
      <sz val="10"/>
      <color rgb="FFFF0000"/>
      <name val="游ゴシック"/>
      <family val="3"/>
      <charset val="128"/>
      <scheme val="minor"/>
    </font>
    <font>
      <sz val="10"/>
      <color rgb="FFFF0000"/>
      <name val="游ゴシック"/>
      <family val="3"/>
      <charset val="128"/>
      <scheme val="minor"/>
    </font>
    <font>
      <sz val="10"/>
      <color theme="1"/>
      <name val="Segoe UI Symbol"/>
      <family val="3"/>
    </font>
    <font>
      <b/>
      <sz val="11"/>
      <color theme="1"/>
      <name val="Segoe UI Symbol"/>
      <family val="2"/>
    </font>
    <font>
      <sz val="12"/>
      <color theme="1"/>
      <name val="游ゴシック"/>
      <family val="3"/>
      <charset val="128"/>
      <scheme val="minor"/>
    </font>
    <font>
      <sz val="16"/>
      <color theme="1"/>
      <name val="游ゴシック"/>
      <family val="3"/>
      <charset val="128"/>
      <scheme val="minor"/>
    </font>
    <font>
      <sz val="11"/>
      <color theme="1"/>
      <name val="游ゴシック"/>
      <family val="2"/>
      <scheme val="minor"/>
    </font>
    <font>
      <b/>
      <sz val="9"/>
      <name val="游ゴシック"/>
      <family val="3"/>
      <charset val="128"/>
      <scheme val="minor"/>
    </font>
    <font>
      <sz val="11"/>
      <name val="游ゴシック"/>
      <family val="3"/>
      <charset val="128"/>
      <scheme val="minor"/>
    </font>
    <font>
      <sz val="18"/>
      <color theme="1"/>
      <name val="游ゴシック"/>
      <family val="3"/>
      <charset val="128"/>
      <scheme val="minor"/>
    </font>
    <font>
      <sz val="11"/>
      <color rgb="FFFF0000"/>
      <name val="游ゴシック"/>
      <family val="3"/>
      <charset val="128"/>
      <scheme val="minor"/>
    </font>
    <font>
      <b/>
      <u/>
      <sz val="10"/>
      <color rgb="FFFF0000"/>
      <name val="游ゴシック"/>
      <family val="3"/>
      <charset val="128"/>
      <scheme val="minor"/>
    </font>
    <font>
      <sz val="10"/>
      <color theme="1"/>
      <name val="游ゴシック"/>
      <family val="2"/>
      <charset val="128"/>
      <scheme val="minor"/>
    </font>
    <font>
      <u/>
      <sz val="11"/>
      <color theme="10"/>
      <name val="游ゴシック"/>
      <family val="2"/>
      <scheme val="minor"/>
    </font>
    <font>
      <sz val="11"/>
      <color theme="1"/>
      <name val="ＭＳ Ｐゴシック"/>
      <family val="2"/>
      <charset val="128"/>
    </font>
    <font>
      <sz val="11"/>
      <name val="ＭＳ Ｐゴシック"/>
      <family val="3"/>
    </font>
    <font>
      <b/>
      <sz val="8"/>
      <color theme="1"/>
      <name val="游ゴシック"/>
      <family val="3"/>
      <charset val="128"/>
      <scheme val="minor"/>
    </font>
    <font>
      <b/>
      <sz val="12"/>
      <color theme="0"/>
      <name val="游ゴシック"/>
      <family val="3"/>
      <charset val="128"/>
      <scheme val="minor"/>
    </font>
    <font>
      <b/>
      <sz val="20"/>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b/>
      <sz val="22"/>
      <color theme="1"/>
      <name val="游ゴシック"/>
      <family val="3"/>
      <charset val="128"/>
      <scheme val="minor"/>
    </font>
    <font>
      <b/>
      <sz val="11"/>
      <color theme="1"/>
      <name val="Segoe UI Symbol"/>
      <family val="3"/>
    </font>
  </fonts>
  <fills count="8">
    <fill>
      <patternFill patternType="none"/>
    </fill>
    <fill>
      <patternFill patternType="gray125"/>
    </fill>
    <fill>
      <patternFill patternType="solid">
        <fgColor rgb="FFFFFF99"/>
        <bgColor indexed="64"/>
      </patternFill>
    </fill>
    <fill>
      <patternFill patternType="solid">
        <fgColor theme="6"/>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medium">
        <color auto="1"/>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right/>
      <top/>
      <bottom style="hair">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top/>
      <bottom/>
      <diagonal/>
    </border>
    <border>
      <left/>
      <right style="dashed">
        <color auto="1"/>
      </right>
      <top/>
      <bottom/>
      <diagonal/>
    </border>
    <border>
      <left style="thin">
        <color indexed="64"/>
      </left>
      <right style="thin">
        <color indexed="64"/>
      </right>
      <top style="thin">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auto="1"/>
      </right>
      <top style="double">
        <color indexed="64"/>
      </top>
      <bottom style="thin">
        <color indexed="64"/>
      </bottom>
      <diagonal/>
    </border>
    <border>
      <left style="hair">
        <color auto="1"/>
      </left>
      <right style="hair">
        <color auto="1"/>
      </right>
      <top style="double">
        <color indexed="64"/>
      </top>
      <bottom style="thin">
        <color indexed="64"/>
      </bottom>
      <diagonal/>
    </border>
    <border>
      <left style="hair">
        <color auto="1"/>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s>
  <cellStyleXfs count="1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xf numFmtId="38" fontId="5" fillId="0" borderId="0" applyFont="0" applyFill="0" applyBorder="0" applyAlignment="0" applyProtection="0">
      <alignment vertical="center"/>
    </xf>
    <xf numFmtId="0" fontId="37" fillId="0" borderId="0"/>
    <xf numFmtId="38" fontId="37" fillId="0" borderId="0" applyFont="0" applyFill="0" applyBorder="0" applyAlignment="0" applyProtection="0">
      <alignment vertical="center"/>
    </xf>
    <xf numFmtId="0" fontId="44" fillId="0" borderId="0" applyNumberFormat="0" applyFill="0" applyBorder="0" applyAlignment="0" applyProtection="0"/>
    <xf numFmtId="0" fontId="5" fillId="0" borderId="0">
      <alignment vertical="center"/>
    </xf>
    <xf numFmtId="0" fontId="37" fillId="0" borderId="0"/>
    <xf numFmtId="0" fontId="5" fillId="0" borderId="0">
      <alignment vertical="center"/>
    </xf>
    <xf numFmtId="0" fontId="45" fillId="0" borderId="0">
      <alignment vertical="center"/>
    </xf>
    <xf numFmtId="0" fontId="3" fillId="0" borderId="0">
      <alignment vertical="center"/>
    </xf>
    <xf numFmtId="0" fontId="45" fillId="0" borderId="0">
      <alignment vertical="center"/>
    </xf>
    <xf numFmtId="0" fontId="46" fillId="0" borderId="0">
      <alignment vertical="center"/>
    </xf>
    <xf numFmtId="0" fontId="45" fillId="0" borderId="0">
      <alignment vertical="center"/>
    </xf>
    <xf numFmtId="0" fontId="2" fillId="0" borderId="0" applyNumberFormat="0" applyFill="0" applyBorder="0" applyAlignment="0" applyProtection="0">
      <alignment vertical="center"/>
    </xf>
    <xf numFmtId="0" fontId="5" fillId="0" borderId="0">
      <alignment vertical="center"/>
    </xf>
  </cellStyleXfs>
  <cellXfs count="953">
    <xf numFmtId="0" fontId="0" fillId="0" borderId="0" xfId="0">
      <alignment vertical="center"/>
    </xf>
    <xf numFmtId="0" fontId="16" fillId="0" borderId="0" xfId="0" applyFont="1" applyProtection="1">
      <alignment vertical="center"/>
    </xf>
    <xf numFmtId="0" fontId="16" fillId="0" borderId="0" xfId="0" applyFont="1" applyAlignment="1" applyProtection="1">
      <alignment horizontal="center" vertical="center"/>
    </xf>
    <xf numFmtId="0" fontId="16" fillId="0" borderId="0" xfId="0" applyFont="1" applyAlignment="1" applyProtection="1">
      <alignment horizontal="center" vertical="center" shrinkToFit="1"/>
    </xf>
    <xf numFmtId="0" fontId="16" fillId="0" borderId="0" xfId="0" applyFont="1" applyAlignment="1" applyProtection="1">
      <alignment horizontal="left" vertical="center"/>
    </xf>
    <xf numFmtId="3" fontId="16" fillId="0" borderId="0" xfId="0" applyNumberFormat="1" applyFont="1" applyBorder="1" applyProtection="1">
      <alignment vertical="center"/>
    </xf>
    <xf numFmtId="0" fontId="16" fillId="0" borderId="0" xfId="0" applyFont="1" applyBorder="1" applyProtection="1">
      <alignment vertical="center"/>
    </xf>
    <xf numFmtId="3" fontId="16" fillId="0" borderId="0" xfId="0" applyNumberFormat="1" applyFont="1" applyProtection="1">
      <alignment vertical="center"/>
    </xf>
    <xf numFmtId="14" fontId="16" fillId="0" borderId="0" xfId="0" applyNumberFormat="1" applyFont="1" applyBorder="1" applyProtection="1">
      <alignment vertical="center"/>
    </xf>
    <xf numFmtId="0" fontId="16" fillId="0" borderId="0" xfId="0" applyFont="1" applyFill="1" applyBorder="1" applyAlignment="1" applyProtection="1">
      <alignment horizontal="center" vertical="center"/>
    </xf>
    <xf numFmtId="179" fontId="16" fillId="0" borderId="19" xfId="0" applyNumberFormat="1" applyFont="1" applyBorder="1" applyAlignment="1" applyProtection="1">
      <alignment horizontal="center" vertical="center" shrinkToFit="1"/>
    </xf>
    <xf numFmtId="179" fontId="16" fillId="0" borderId="20" xfId="0" applyNumberFormat="1" applyFont="1" applyBorder="1" applyAlignment="1" applyProtection="1">
      <alignment horizontal="center" vertical="center" shrinkToFit="1"/>
    </xf>
    <xf numFmtId="179" fontId="16" fillId="0" borderId="21" xfId="0" applyNumberFormat="1" applyFont="1" applyBorder="1" applyAlignment="1" applyProtection="1">
      <alignment horizontal="center" vertical="center" shrinkToFit="1"/>
    </xf>
    <xf numFmtId="0" fontId="16" fillId="0" borderId="32" xfId="0" applyFont="1" applyFill="1" applyBorder="1" applyAlignment="1" applyProtection="1">
      <alignment horizontal="center" vertical="center"/>
    </xf>
    <xf numFmtId="3" fontId="16" fillId="0" borderId="33" xfId="0" applyNumberFormat="1" applyFont="1" applyFill="1" applyBorder="1" applyProtection="1">
      <alignment vertical="center"/>
    </xf>
    <xf numFmtId="0" fontId="16" fillId="0" borderId="33" xfId="0" applyFont="1" applyFill="1" applyBorder="1" applyProtection="1">
      <alignment vertical="center"/>
    </xf>
    <xf numFmtId="179" fontId="16" fillId="0" borderId="34" xfId="0" applyNumberFormat="1" applyFont="1" applyFill="1" applyBorder="1" applyAlignment="1" applyProtection="1">
      <alignment vertical="center" shrinkToFit="1"/>
    </xf>
    <xf numFmtId="179" fontId="16" fillId="0" borderId="13" xfId="0" applyNumberFormat="1" applyFont="1" applyBorder="1" applyAlignment="1" applyProtection="1">
      <alignment vertical="center" shrinkToFit="1"/>
    </xf>
    <xf numFmtId="14" fontId="16" fillId="0" borderId="0" xfId="0" applyNumberFormat="1" applyFont="1" applyAlignment="1" applyProtection="1">
      <alignment horizontal="center" vertical="center" shrinkToFit="1"/>
    </xf>
    <xf numFmtId="0" fontId="7" fillId="0" borderId="0" xfId="0" applyFont="1" applyBorder="1" applyAlignment="1" applyProtection="1"/>
    <xf numFmtId="0" fontId="16" fillId="0" borderId="0" xfId="0" applyFont="1" applyFill="1" applyBorder="1" applyAlignment="1" applyProtection="1">
      <alignment horizontal="center" vertical="center" shrinkToFit="1"/>
    </xf>
    <xf numFmtId="0" fontId="7" fillId="0" borderId="0" xfId="0" applyFont="1" applyBorder="1" applyAlignment="1" applyProtection="1">
      <alignment vertical="center"/>
    </xf>
    <xf numFmtId="0" fontId="16" fillId="0" borderId="0" xfId="0" applyFont="1" applyAlignment="1" applyProtection="1"/>
    <xf numFmtId="0" fontId="18" fillId="0" borderId="0" xfId="0" applyFont="1" applyAlignment="1">
      <alignment horizontal="left" vertical="center"/>
    </xf>
    <xf numFmtId="14" fontId="18" fillId="0" borderId="0" xfId="0" applyNumberFormat="1" applyFont="1" applyAlignment="1">
      <alignment horizontal="left" vertical="center"/>
    </xf>
    <xf numFmtId="14" fontId="18" fillId="2" borderId="1" xfId="0" applyNumberFormat="1" applyFont="1" applyFill="1" applyBorder="1" applyAlignment="1">
      <alignment horizontal="center" vertical="center"/>
    </xf>
    <xf numFmtId="0" fontId="28" fillId="0" borderId="0" xfId="0" applyFont="1" applyBorder="1" applyAlignment="1" applyProtection="1">
      <alignment vertical="center"/>
    </xf>
    <xf numFmtId="0" fontId="28" fillId="0" borderId="0" xfId="0" applyFont="1" applyProtection="1">
      <alignment vertical="center"/>
    </xf>
    <xf numFmtId="0" fontId="8" fillId="0" borderId="0" xfId="0" applyFont="1" applyProtection="1">
      <alignment vertical="center"/>
    </xf>
    <xf numFmtId="0" fontId="28" fillId="0" borderId="1" xfId="0" applyFont="1" applyBorder="1" applyAlignment="1" applyProtection="1">
      <alignment horizontal="center" vertical="center"/>
    </xf>
    <xf numFmtId="0" fontId="28" fillId="0" borderId="0" xfId="0" applyFont="1" applyBorder="1" applyAlignment="1" applyProtection="1">
      <alignment horizontal="left" vertical="center" shrinkToFit="1"/>
    </xf>
    <xf numFmtId="177" fontId="8" fillId="0" borderId="7" xfId="0" applyNumberFormat="1" applyFont="1" applyFill="1" applyBorder="1" applyAlignment="1" applyProtection="1">
      <alignment horizontal="center" vertical="center"/>
    </xf>
    <xf numFmtId="177" fontId="8" fillId="0" borderId="8"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28" fillId="0" borderId="0" xfId="0" applyFont="1" applyBorder="1" applyAlignment="1" applyProtection="1">
      <alignment horizontal="left" vertical="center"/>
    </xf>
    <xf numFmtId="0" fontId="8" fillId="0" borderId="0" xfId="0" applyFont="1" applyBorder="1" applyAlignment="1" applyProtection="1">
      <alignment vertical="center" shrinkToFit="1"/>
    </xf>
    <xf numFmtId="0" fontId="28" fillId="0" borderId="0" xfId="0" applyFont="1" applyBorder="1" applyAlignment="1" applyProtection="1">
      <alignment vertical="center" shrinkToFit="1"/>
    </xf>
    <xf numFmtId="0" fontId="8" fillId="0" borderId="0" xfId="0" applyFont="1" applyBorder="1" applyProtection="1">
      <alignment vertical="center"/>
    </xf>
    <xf numFmtId="0" fontId="33" fillId="0" borderId="0" xfId="0" applyFont="1" applyAlignment="1" applyProtection="1">
      <alignment horizontal="center" vertical="center"/>
    </xf>
    <xf numFmtId="0" fontId="8" fillId="0" borderId="28" xfId="0" applyFont="1" applyBorder="1" applyAlignment="1" applyProtection="1">
      <alignment horizontal="center" vertical="center"/>
    </xf>
    <xf numFmtId="0" fontId="8" fillId="0" borderId="0" xfId="0" applyFont="1" applyAlignment="1" applyProtection="1">
      <alignment horizontal="center" vertical="center"/>
    </xf>
    <xf numFmtId="0" fontId="28" fillId="0" borderId="0" xfId="0" applyFont="1" applyAlignment="1" applyProtection="1">
      <alignment horizontal="center" vertical="center"/>
    </xf>
    <xf numFmtId="0" fontId="8" fillId="0" borderId="0" xfId="0" applyFont="1" applyBorder="1" applyAlignment="1" applyProtection="1">
      <alignment vertical="center" wrapText="1" shrinkToFit="1"/>
    </xf>
    <xf numFmtId="0" fontId="8" fillId="0" borderId="0" xfId="0" applyFont="1" applyFill="1" applyBorder="1" applyAlignment="1" applyProtection="1">
      <alignment vertical="top" wrapText="1" shrinkToFit="1"/>
    </xf>
    <xf numFmtId="0" fontId="28" fillId="0" borderId="0" xfId="0" applyFont="1" applyAlignment="1" applyProtection="1">
      <alignment vertical="top"/>
    </xf>
    <xf numFmtId="0" fontId="8" fillId="0" borderId="1" xfId="0" applyFont="1" applyBorder="1" applyAlignment="1" applyProtection="1">
      <alignment horizontal="center" vertical="center"/>
    </xf>
    <xf numFmtId="0" fontId="7" fillId="0" borderId="0" xfId="0" applyFont="1" applyProtection="1">
      <alignment vertical="center"/>
    </xf>
    <xf numFmtId="0" fontId="14" fillId="0" borderId="0" xfId="0" applyFont="1" applyAlignment="1" applyProtection="1"/>
    <xf numFmtId="3" fontId="7" fillId="0" borderId="0" xfId="0" applyNumberFormat="1" applyFont="1" applyProtection="1">
      <alignment vertical="center"/>
    </xf>
    <xf numFmtId="0" fontId="7" fillId="0" borderId="0" xfId="0" applyFont="1" applyBorder="1" applyAlignment="1" applyProtection="1">
      <alignment horizontal="center" vertical="center"/>
    </xf>
    <xf numFmtId="0" fontId="7" fillId="0" borderId="0" xfId="0" applyFont="1" applyBorder="1" applyProtection="1">
      <alignment vertical="center"/>
    </xf>
    <xf numFmtId="0" fontId="7" fillId="0" borderId="5" xfId="0" applyFont="1" applyBorder="1" applyAlignment="1" applyProtection="1">
      <alignment horizontal="center" vertical="center"/>
    </xf>
    <xf numFmtId="0" fontId="7" fillId="0" borderId="1" xfId="0" applyFont="1" applyBorder="1" applyAlignment="1" applyProtection="1">
      <alignment horizontal="center" vertical="center" wrapText="1"/>
    </xf>
    <xf numFmtId="3" fontId="7" fillId="0" borderId="0" xfId="0" applyNumberFormat="1" applyFont="1" applyBorder="1" applyProtection="1">
      <alignment vertical="center"/>
    </xf>
    <xf numFmtId="178" fontId="7" fillId="0" borderId="2" xfId="0" applyNumberFormat="1" applyFont="1" applyBorder="1" applyAlignment="1" applyProtection="1">
      <alignment vertical="center" shrinkToFit="1"/>
    </xf>
    <xf numFmtId="186" fontId="7" fillId="0" borderId="4" xfId="0" applyNumberFormat="1" applyFont="1" applyBorder="1" applyAlignment="1" applyProtection="1">
      <alignment vertical="center" shrinkToFit="1"/>
    </xf>
    <xf numFmtId="0" fontId="28" fillId="0" borderId="0" xfId="0" applyFont="1" applyBorder="1" applyProtection="1">
      <alignment vertical="center"/>
    </xf>
    <xf numFmtId="0" fontId="18" fillId="0" borderId="0" xfId="0" applyFont="1" applyAlignment="1">
      <alignment horizontal="center" vertical="center"/>
    </xf>
    <xf numFmtId="0" fontId="21" fillId="0" borderId="26"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16" fillId="0" borderId="26"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28" xfId="0" applyFont="1" applyFill="1" applyBorder="1" applyAlignment="1" applyProtection="1">
      <alignment horizontal="center" vertical="center" shrinkToFit="1"/>
    </xf>
    <xf numFmtId="0" fontId="16" fillId="0" borderId="0" xfId="0" applyFont="1" applyBorder="1" applyAlignment="1" applyProtection="1">
      <alignment vertical="center"/>
    </xf>
    <xf numFmtId="0" fontId="16" fillId="0" borderId="0" xfId="0" applyFont="1" applyBorder="1" applyAlignment="1" applyProtection="1">
      <alignment horizontal="center" vertical="center"/>
    </xf>
    <xf numFmtId="0" fontId="14" fillId="0" borderId="0" xfId="0" applyFont="1" applyBorder="1" applyAlignment="1" applyProtection="1">
      <alignment horizontal="center" vertical="center"/>
    </xf>
    <xf numFmtId="0" fontId="16" fillId="0" borderId="0" xfId="0" applyFont="1" applyBorder="1" applyAlignment="1" applyProtection="1">
      <alignment horizontal="center" vertical="center" shrinkToFit="1"/>
    </xf>
    <xf numFmtId="3" fontId="16" fillId="0" borderId="0" xfId="0" applyNumberFormat="1" applyFont="1" applyBorder="1" applyAlignment="1" applyProtection="1">
      <alignment horizontal="center" vertical="center"/>
    </xf>
    <xf numFmtId="3" fontId="16" fillId="0" borderId="0" xfId="0" applyNumberFormat="1" applyFont="1" applyBorder="1" applyAlignment="1" applyProtection="1">
      <alignment vertical="center"/>
    </xf>
    <xf numFmtId="14" fontId="16" fillId="0" borderId="0" xfId="0" applyNumberFormat="1" applyFont="1" applyBorder="1" applyAlignment="1" applyProtection="1">
      <alignment vertical="center"/>
    </xf>
    <xf numFmtId="0" fontId="16" fillId="0" borderId="0" xfId="0" applyFont="1" applyBorder="1" applyAlignment="1" applyProtection="1">
      <alignment horizontal="left" vertical="center"/>
    </xf>
    <xf numFmtId="0" fontId="13" fillId="0" borderId="0" xfId="0" applyFont="1" applyBorder="1" applyAlignment="1" applyProtection="1">
      <alignment horizontal="center" vertical="center" shrinkToFit="1"/>
    </xf>
    <xf numFmtId="14" fontId="16" fillId="0" borderId="0" xfId="0" applyNumberFormat="1" applyFont="1" applyBorder="1" applyAlignment="1" applyProtection="1">
      <alignment horizontal="center" vertical="center" shrinkToFit="1"/>
    </xf>
    <xf numFmtId="0" fontId="16" fillId="0" borderId="0" xfId="0" applyFont="1" applyAlignment="1" applyProtection="1">
      <alignment vertical="center" wrapText="1"/>
    </xf>
    <xf numFmtId="0" fontId="28" fillId="0" borderId="0" xfId="0" applyFont="1" applyAlignment="1" applyProtection="1">
      <alignment horizontal="center" vertical="center" wrapText="1"/>
    </xf>
    <xf numFmtId="0" fontId="9" fillId="0" borderId="1" xfId="0" applyFont="1" applyBorder="1" applyAlignment="1" applyProtection="1">
      <alignment horizontal="left" vertical="center" wrapText="1"/>
    </xf>
    <xf numFmtId="0" fontId="9" fillId="0" borderId="7" xfId="0" applyNumberFormat="1" applyFont="1" applyBorder="1" applyAlignment="1" applyProtection="1">
      <alignment vertical="center" wrapText="1"/>
    </xf>
    <xf numFmtId="179" fontId="9" fillId="0" borderId="1" xfId="0" applyNumberFormat="1" applyFont="1" applyBorder="1" applyProtection="1">
      <alignment vertical="center"/>
    </xf>
    <xf numFmtId="0" fontId="8" fillId="6" borderId="27" xfId="0" applyNumberFormat="1" applyFont="1" applyFill="1" applyBorder="1" applyAlignment="1" applyProtection="1">
      <alignment horizontal="center" vertical="center"/>
      <protection locked="0"/>
    </xf>
    <xf numFmtId="0" fontId="18" fillId="0" borderId="1" xfId="0" applyFont="1" applyBorder="1" applyAlignment="1" applyProtection="1">
      <alignment horizontal="left" vertical="center"/>
    </xf>
    <xf numFmtId="0" fontId="18" fillId="0" borderId="1" xfId="0" applyNumberFormat="1" applyFont="1" applyBorder="1" applyAlignment="1" applyProtection="1">
      <alignment horizontal="center" vertical="center"/>
    </xf>
    <xf numFmtId="0" fontId="18" fillId="0" borderId="1" xfId="0" applyFont="1" applyBorder="1" applyAlignment="1" applyProtection="1">
      <alignment horizontal="center" vertical="center"/>
    </xf>
    <xf numFmtId="14" fontId="18" fillId="0" borderId="1" xfId="0" applyNumberFormat="1" applyFont="1" applyBorder="1" applyAlignment="1" applyProtection="1">
      <alignment horizontal="left" vertical="center"/>
    </xf>
    <xf numFmtId="14"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left" vertical="center"/>
    </xf>
    <xf numFmtId="14" fontId="18" fillId="0" borderId="1" xfId="0" applyNumberFormat="1" applyFont="1" applyBorder="1" applyAlignment="1">
      <alignment horizontal="left" vertical="center"/>
    </xf>
    <xf numFmtId="38" fontId="28" fillId="0" borderId="1" xfId="5" applyFont="1" applyBorder="1" applyAlignment="1" applyProtection="1">
      <alignment horizontal="center" vertical="center"/>
    </xf>
    <xf numFmtId="0" fontId="28" fillId="0" borderId="1" xfId="0" applyFont="1" applyBorder="1" applyAlignment="1" applyProtection="1">
      <alignment horizontal="center" vertical="center"/>
      <protection locked="0"/>
    </xf>
    <xf numFmtId="38" fontId="8" fillId="0" borderId="1" xfId="5" applyFont="1" applyBorder="1" applyAlignment="1" applyProtection="1">
      <alignment horizontal="center" vertical="center"/>
    </xf>
    <xf numFmtId="0" fontId="8" fillId="0" borderId="1" xfId="0" applyFont="1" applyBorder="1" applyProtection="1">
      <alignment vertical="center"/>
    </xf>
    <xf numFmtId="0" fontId="8" fillId="0" borderId="1" xfId="0" applyFont="1" applyBorder="1" applyAlignment="1" applyProtection="1">
      <alignment horizontal="left" vertical="center"/>
    </xf>
    <xf numFmtId="0" fontId="18" fillId="0" borderId="1" xfId="0" applyFont="1" applyBorder="1" applyProtection="1">
      <alignment vertical="center"/>
    </xf>
    <xf numFmtId="0" fontId="8" fillId="6" borderId="26" xfId="0" applyFont="1" applyFill="1" applyBorder="1" applyAlignment="1" applyProtection="1">
      <alignment horizontal="center" vertical="center"/>
      <protection locked="0"/>
    </xf>
    <xf numFmtId="0" fontId="8" fillId="6" borderId="1" xfId="0" applyFont="1" applyFill="1" applyBorder="1" applyAlignment="1" applyProtection="1">
      <alignment horizontal="center" vertical="center"/>
      <protection locked="0"/>
    </xf>
    <xf numFmtId="0" fontId="16" fillId="0" borderId="3" xfId="0" applyFont="1" applyBorder="1" applyAlignment="1" applyProtection="1">
      <alignment horizontal="center" vertical="center" wrapText="1"/>
    </xf>
    <xf numFmtId="178" fontId="7" fillId="0" borderId="0" xfId="0" applyNumberFormat="1" applyFont="1" applyProtection="1">
      <alignment vertical="center"/>
    </xf>
    <xf numFmtId="179" fontId="47" fillId="0" borderId="0" xfId="0" applyNumberFormat="1" applyFont="1" applyBorder="1" applyAlignment="1" applyProtection="1">
      <alignment horizontal="center" vertical="center"/>
    </xf>
    <xf numFmtId="14" fontId="16" fillId="0" borderId="1" xfId="0" applyNumberFormat="1" applyFont="1" applyBorder="1" applyAlignment="1" applyProtection="1">
      <alignment horizontal="center" vertical="center"/>
    </xf>
    <xf numFmtId="188" fontId="16" fillId="0" borderId="1" xfId="0" applyNumberFormat="1" applyFont="1" applyBorder="1" applyAlignment="1" applyProtection="1">
      <alignment horizontal="center" vertical="center"/>
    </xf>
    <xf numFmtId="3" fontId="16" fillId="0" borderId="1" xfId="0" applyNumberFormat="1" applyFont="1" applyBorder="1" applyAlignment="1" applyProtection="1">
      <alignment horizontal="center" vertical="center"/>
    </xf>
    <xf numFmtId="0" fontId="16" fillId="0" borderId="1" xfId="0" applyFont="1" applyBorder="1" applyAlignment="1" applyProtection="1">
      <alignment horizontal="center" vertical="center"/>
    </xf>
    <xf numFmtId="177" fontId="7" fillId="0" borderId="0" xfId="0" applyNumberFormat="1" applyFont="1" applyFill="1" applyBorder="1" applyAlignment="1" applyProtection="1">
      <alignment vertical="center"/>
    </xf>
    <xf numFmtId="0" fontId="9" fillId="0" borderId="2" xfId="0" applyFont="1" applyBorder="1" applyAlignment="1" applyProtection="1">
      <alignment horizontal="center" vertical="center"/>
    </xf>
    <xf numFmtId="0" fontId="35" fillId="0" borderId="3" xfId="0" applyFont="1" applyBorder="1" applyAlignment="1" applyProtection="1">
      <alignment vertical="center"/>
    </xf>
    <xf numFmtId="0" fontId="9" fillId="0" borderId="2" xfId="0" applyFont="1" applyBorder="1" applyAlignment="1" applyProtection="1">
      <alignment horizontal="center" vertical="center" wrapText="1"/>
    </xf>
    <xf numFmtId="0" fontId="35" fillId="0" borderId="3"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179" fontId="16" fillId="0" borderId="26" xfId="0" applyNumberFormat="1" applyFont="1" applyBorder="1" applyAlignment="1" applyProtection="1">
      <alignment horizontal="center" vertical="center" shrinkToFit="1"/>
    </xf>
    <xf numFmtId="179" fontId="16" fillId="0" borderId="27" xfId="0" applyNumberFormat="1" applyFont="1" applyBorder="1" applyAlignment="1" applyProtection="1">
      <alignment horizontal="center" vertical="center" shrinkToFit="1"/>
    </xf>
    <xf numFmtId="179" fontId="16" fillId="0" borderId="28" xfId="0" applyNumberFormat="1" applyFont="1" applyBorder="1" applyAlignment="1" applyProtection="1">
      <alignment horizontal="center" vertical="center" shrinkToFit="1"/>
    </xf>
    <xf numFmtId="0" fontId="49" fillId="0" borderId="0" xfId="6" applyFont="1" applyAlignment="1">
      <alignment horizontal="center" vertical="center"/>
    </xf>
    <xf numFmtId="0" fontId="49" fillId="0" borderId="0" xfId="6" applyFont="1" applyAlignment="1">
      <alignment horizontal="left" vertical="center" shrinkToFit="1"/>
    </xf>
    <xf numFmtId="0" fontId="49" fillId="0" borderId="0" xfId="6" applyFont="1" applyAlignment="1">
      <alignment horizontal="center" vertical="center" shrinkToFit="1"/>
    </xf>
    <xf numFmtId="0" fontId="49" fillId="0" borderId="1" xfId="6" applyFont="1" applyBorder="1" applyAlignment="1">
      <alignment horizontal="center" vertical="center"/>
    </xf>
    <xf numFmtId="0" fontId="49" fillId="0" borderId="0" xfId="6" applyFont="1" applyAlignment="1">
      <alignment horizontal="left" vertical="center"/>
    </xf>
    <xf numFmtId="0" fontId="50" fillId="0" borderId="0" xfId="6" applyFont="1" applyAlignment="1">
      <alignment horizontal="center" vertical="center"/>
    </xf>
    <xf numFmtId="0" fontId="50" fillId="0" borderId="0" xfId="6" applyFont="1" applyAlignment="1">
      <alignment horizontal="center" vertical="center" shrinkToFit="1"/>
    </xf>
    <xf numFmtId="0" fontId="37" fillId="0" borderId="0" xfId="6" applyAlignment="1">
      <alignment vertical="center"/>
    </xf>
    <xf numFmtId="0" fontId="50" fillId="0" borderId="0" xfId="6" applyFont="1" applyAlignment="1">
      <alignment vertical="center"/>
    </xf>
    <xf numFmtId="0" fontId="50" fillId="0" borderId="0" xfId="6" applyFont="1" applyAlignment="1">
      <alignment horizontal="distributed" vertical="center"/>
    </xf>
    <xf numFmtId="0" fontId="49" fillId="0" borderId="0" xfId="6" applyFont="1" applyAlignment="1">
      <alignment horizontal="distributed" vertical="center"/>
    </xf>
    <xf numFmtId="0" fontId="8" fillId="6" borderId="27" xfId="0" applyFont="1" applyFill="1" applyBorder="1" applyAlignment="1" applyProtection="1">
      <alignment horizontal="center" vertical="center"/>
      <protection locked="0"/>
    </xf>
    <xf numFmtId="0" fontId="8" fillId="6" borderId="28" xfId="0" applyFont="1" applyFill="1" applyBorder="1" applyAlignment="1" applyProtection="1">
      <alignment horizontal="center" vertical="center"/>
      <protection locked="0"/>
    </xf>
    <xf numFmtId="0" fontId="16" fillId="0" borderId="2" xfId="0" applyFont="1" applyBorder="1" applyAlignment="1" applyProtection="1">
      <alignment horizontal="center" vertical="center" wrapText="1"/>
    </xf>
    <xf numFmtId="0" fontId="28" fillId="0" borderId="0" xfId="0" applyFont="1" applyBorder="1" applyAlignment="1" applyProtection="1">
      <alignment horizontal="center" vertical="center"/>
    </xf>
    <xf numFmtId="0" fontId="7" fillId="0" borderId="0" xfId="0" applyFont="1" applyAlignment="1" applyProtection="1"/>
    <xf numFmtId="0" fontId="16" fillId="0" borderId="8" xfId="0" applyFont="1" applyBorder="1" applyAlignment="1" applyProtection="1">
      <alignment vertical="center" shrinkToFit="1"/>
    </xf>
    <xf numFmtId="0" fontId="7" fillId="0" borderId="0" xfId="0" applyFont="1" applyAlignment="1" applyProtection="1">
      <alignment horizontal="center" vertical="center"/>
    </xf>
    <xf numFmtId="0" fontId="35" fillId="0" borderId="4" xfId="0" applyFont="1" applyBorder="1" applyAlignment="1" applyProtection="1">
      <alignment vertical="center"/>
    </xf>
    <xf numFmtId="0" fontId="9" fillId="0" borderId="1" xfId="0" applyFont="1" applyBorder="1" applyAlignment="1" applyProtection="1">
      <alignment horizontal="center" vertical="center"/>
    </xf>
    <xf numFmtId="0" fontId="16" fillId="0" borderId="2" xfId="0" applyFont="1" applyFill="1" applyBorder="1" applyAlignment="1" applyProtection="1">
      <alignment horizontal="center" vertical="center" wrapText="1"/>
    </xf>
    <xf numFmtId="179" fontId="16" fillId="0" borderId="1" xfId="0" applyNumberFormat="1" applyFont="1" applyBorder="1" applyAlignment="1" applyProtection="1">
      <alignment vertical="center" shrinkToFit="1"/>
    </xf>
    <xf numFmtId="179" fontId="16" fillId="0" borderId="1" xfId="0" applyNumberFormat="1" applyFont="1" applyFill="1" applyBorder="1" applyAlignment="1" applyProtection="1">
      <alignment horizontal="right" vertical="center" shrinkToFit="1"/>
    </xf>
    <xf numFmtId="179" fontId="16" fillId="0" borderId="54" xfId="0" applyNumberFormat="1" applyFont="1" applyFill="1" applyBorder="1" applyAlignment="1" applyProtection="1">
      <alignment horizontal="right" vertical="center" shrinkToFit="1"/>
    </xf>
    <xf numFmtId="179" fontId="16" fillId="0" borderId="54" xfId="0" applyNumberFormat="1" applyFont="1" applyBorder="1" applyAlignment="1" applyProtection="1">
      <alignment vertical="center" shrinkToFit="1"/>
    </xf>
    <xf numFmtId="194" fontId="16" fillId="0" borderId="3" xfId="0" applyNumberFormat="1" applyFont="1" applyFill="1" applyBorder="1" applyAlignment="1" applyProtection="1">
      <alignment horizontal="right" vertical="center" wrapText="1"/>
    </xf>
    <xf numFmtId="194" fontId="16" fillId="0" borderId="1" xfId="0" applyNumberFormat="1" applyFont="1" applyFill="1" applyBorder="1" applyAlignment="1" applyProtection="1">
      <alignment horizontal="right" vertical="center" wrapText="1"/>
    </xf>
    <xf numFmtId="194" fontId="16" fillId="0" borderId="14" xfId="0" applyNumberFormat="1" applyFont="1" applyFill="1" applyBorder="1" applyAlignment="1" applyProtection="1">
      <alignment horizontal="right" vertical="center" wrapText="1"/>
    </xf>
    <xf numFmtId="178" fontId="7" fillId="0" borderId="2" xfId="0" applyNumberFormat="1" applyFont="1" applyFill="1" applyBorder="1" applyAlignment="1" applyProtection="1">
      <alignment vertical="center" shrinkToFit="1"/>
    </xf>
    <xf numFmtId="186" fontId="7" fillId="0" borderId="4" xfId="0" applyNumberFormat="1" applyFont="1" applyFill="1" applyBorder="1" applyAlignment="1" applyProtection="1">
      <alignment vertical="center" shrinkToFit="1"/>
    </xf>
    <xf numFmtId="0" fontId="28" fillId="0" borderId="0" xfId="0" applyNumberFormat="1" applyFont="1" applyBorder="1" applyAlignment="1" applyProtection="1">
      <alignment horizontal="center" vertical="center"/>
    </xf>
    <xf numFmtId="0" fontId="50" fillId="0" borderId="0" xfId="6" applyFont="1" applyAlignment="1">
      <alignment horizontal="left" vertical="center"/>
    </xf>
    <xf numFmtId="0" fontId="50" fillId="0" borderId="0" xfId="6" applyFont="1" applyAlignment="1">
      <alignment horizontal="left" vertical="center" shrinkToFit="1"/>
    </xf>
    <xf numFmtId="0" fontId="28" fillId="0" borderId="13" xfId="0" applyFont="1" applyBorder="1" applyAlignment="1" applyProtection="1">
      <alignment horizontal="center" vertical="center"/>
    </xf>
    <xf numFmtId="183" fontId="8" fillId="0" borderId="26" xfId="0" applyNumberFormat="1" applyFont="1" applyFill="1" applyBorder="1" applyAlignment="1" applyProtection="1">
      <alignment horizontal="center" vertical="center"/>
    </xf>
    <xf numFmtId="183" fontId="8" fillId="0" borderId="27" xfId="0" applyNumberFormat="1" applyFont="1" applyFill="1" applyBorder="1" applyAlignment="1" applyProtection="1">
      <alignment horizontal="center" vertical="center"/>
    </xf>
    <xf numFmtId="3" fontId="8" fillId="6" borderId="27" xfId="0" applyNumberFormat="1" applyFont="1" applyFill="1" applyBorder="1" applyAlignment="1" applyProtection="1">
      <alignment horizontal="center" vertical="center"/>
      <protection locked="0"/>
    </xf>
    <xf numFmtId="183" fontId="8" fillId="0" borderId="28" xfId="0" applyNumberFormat="1" applyFont="1" applyFill="1" applyBorder="1" applyAlignment="1" applyProtection="1">
      <alignment horizontal="center" vertical="center"/>
    </xf>
    <xf numFmtId="183" fontId="8" fillId="0" borderId="19" xfId="0" applyNumberFormat="1" applyFont="1" applyFill="1" applyBorder="1" applyAlignment="1" applyProtection="1">
      <alignment horizontal="center" vertical="center"/>
    </xf>
    <xf numFmtId="183" fontId="8" fillId="0" borderId="20" xfId="0" applyNumberFormat="1" applyFont="1" applyFill="1" applyBorder="1" applyAlignment="1" applyProtection="1">
      <alignment horizontal="center" vertical="center"/>
    </xf>
    <xf numFmtId="3" fontId="8" fillId="6" borderId="20" xfId="0" applyNumberFormat="1" applyFont="1" applyFill="1" applyBorder="1" applyAlignment="1" applyProtection="1">
      <alignment horizontal="center" vertical="center"/>
      <protection locked="0"/>
    </xf>
    <xf numFmtId="183" fontId="8" fillId="0" borderId="21" xfId="0" applyNumberFormat="1" applyFont="1" applyFill="1" applyBorder="1" applyAlignment="1" applyProtection="1">
      <alignment horizontal="center" vertical="center"/>
    </xf>
    <xf numFmtId="0" fontId="28" fillId="0" borderId="54" xfId="0" applyFont="1" applyFill="1" applyBorder="1" applyAlignment="1" applyProtection="1">
      <alignment horizontal="center" vertical="center"/>
    </xf>
    <xf numFmtId="0" fontId="8" fillId="0" borderId="0" xfId="0" applyFont="1" applyAlignment="1" applyProtection="1">
      <alignment vertical="center" wrapText="1"/>
    </xf>
    <xf numFmtId="3" fontId="16" fillId="0" borderId="27" xfId="0" applyNumberFormat="1" applyFont="1" applyFill="1" applyBorder="1" applyAlignment="1" applyProtection="1">
      <alignment horizontal="center" vertical="center" shrinkToFit="1"/>
    </xf>
    <xf numFmtId="3" fontId="16" fillId="0" borderId="20" xfId="0" applyNumberFormat="1" applyFont="1" applyFill="1" applyBorder="1" applyAlignment="1" applyProtection="1">
      <alignment horizontal="center" vertical="center" shrinkToFit="1"/>
    </xf>
    <xf numFmtId="0" fontId="28" fillId="0" borderId="6" xfId="0" applyFont="1" applyFill="1" applyBorder="1" applyAlignment="1" applyProtection="1">
      <alignment horizontal="left" vertical="center" shrinkToFit="1"/>
    </xf>
    <xf numFmtId="0" fontId="20" fillId="3" borderId="0" xfId="0" applyFont="1" applyFill="1" applyBorder="1" applyAlignment="1" applyProtection="1">
      <alignment vertical="center" shrinkToFit="1"/>
    </xf>
    <xf numFmtId="0" fontId="20" fillId="3" borderId="0" xfId="0" applyFont="1" applyFill="1" applyBorder="1" applyAlignment="1" applyProtection="1">
      <alignment horizontal="center" vertical="center" shrinkToFit="1"/>
    </xf>
    <xf numFmtId="0" fontId="20" fillId="3" borderId="0" xfId="0" applyFont="1" applyFill="1" applyBorder="1" applyAlignment="1" applyProtection="1">
      <alignment vertical="center" wrapText="1" shrinkToFit="1"/>
    </xf>
    <xf numFmtId="176" fontId="25" fillId="3" borderId="0" xfId="0" applyNumberFormat="1"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7" fillId="0" borderId="0" xfId="0" applyFont="1" applyBorder="1" applyAlignment="1" applyProtection="1">
      <alignment vertical="center" wrapText="1"/>
    </xf>
    <xf numFmtId="0" fontId="26" fillId="3" borderId="0" xfId="0" applyFont="1" applyFill="1" applyBorder="1" applyAlignment="1" applyProtection="1">
      <alignment horizontal="center" vertical="center" wrapText="1" shrinkToFit="1"/>
    </xf>
    <xf numFmtId="176" fontId="26" fillId="3" borderId="0" xfId="0" applyNumberFormat="1" applyFont="1" applyFill="1" applyBorder="1" applyAlignment="1" applyProtection="1">
      <alignment horizontal="center" vertical="center" wrapText="1"/>
    </xf>
    <xf numFmtId="38" fontId="7" fillId="0" borderId="0" xfId="0" applyNumberFormat="1" applyFont="1" applyBorder="1" applyAlignment="1" applyProtection="1">
      <alignment vertical="center"/>
    </xf>
    <xf numFmtId="38" fontId="7" fillId="0" borderId="0" xfId="5" applyFont="1" applyBorder="1" applyAlignment="1" applyProtection="1">
      <alignment vertical="center"/>
    </xf>
    <xf numFmtId="0" fontId="27" fillId="0" borderId="0" xfId="0" applyFont="1" applyBorder="1" applyAlignment="1" applyProtection="1">
      <alignment vertical="center"/>
    </xf>
    <xf numFmtId="184" fontId="0" fillId="0" borderId="0" xfId="0" applyNumberFormat="1" applyAlignment="1" applyProtection="1">
      <alignment horizontal="left" vertical="top" wrapText="1"/>
    </xf>
    <xf numFmtId="0" fontId="20" fillId="0" borderId="0" xfId="0" applyFont="1" applyAlignment="1" applyProtection="1">
      <alignment vertical="center"/>
    </xf>
    <xf numFmtId="0" fontId="20" fillId="0" borderId="0" xfId="0" applyFont="1" applyProtection="1">
      <alignment vertical="center"/>
    </xf>
    <xf numFmtId="0" fontId="10" fillId="0" borderId="0" xfId="0" applyFont="1" applyProtection="1">
      <alignment vertical="center"/>
    </xf>
    <xf numFmtId="0" fontId="23" fillId="0" borderId="0" xfId="0" applyFont="1" applyAlignment="1" applyProtection="1">
      <alignment vertical="top" wrapText="1"/>
    </xf>
    <xf numFmtId="0" fontId="7" fillId="0" borderId="35" xfId="0" applyFont="1" applyBorder="1" applyProtection="1">
      <alignment vertical="center"/>
    </xf>
    <xf numFmtId="0" fontId="7" fillId="0" borderId="41" xfId="0" applyFont="1" applyBorder="1" applyProtection="1">
      <alignment vertical="center"/>
    </xf>
    <xf numFmtId="0" fontId="7" fillId="0" borderId="36" xfId="0" applyFont="1" applyBorder="1" applyProtection="1">
      <alignment vertical="center"/>
    </xf>
    <xf numFmtId="0" fontId="7" fillId="0" borderId="37" xfId="0" applyFont="1" applyBorder="1" applyProtection="1">
      <alignment vertical="center"/>
    </xf>
    <xf numFmtId="0" fontId="7" fillId="0" borderId="38" xfId="0" applyFont="1" applyBorder="1" applyProtection="1">
      <alignment vertical="center"/>
    </xf>
    <xf numFmtId="0" fontId="17" fillId="0" borderId="37" xfId="0" applyFont="1" applyBorder="1" applyAlignment="1" applyProtection="1">
      <alignment horizontal="center" vertical="center" shrinkToFit="1"/>
    </xf>
    <xf numFmtId="0" fontId="36" fillId="0" borderId="38" xfId="0" applyFont="1" applyBorder="1" applyAlignment="1" applyProtection="1">
      <alignment horizontal="center" vertical="center" shrinkToFit="1"/>
    </xf>
    <xf numFmtId="0" fontId="36" fillId="0" borderId="37" xfId="0" applyFont="1" applyBorder="1" applyAlignment="1" applyProtection="1">
      <alignment horizontal="center" vertical="center" shrinkToFit="1"/>
    </xf>
    <xf numFmtId="0" fontId="9" fillId="0" borderId="0" xfId="0" applyFont="1" applyAlignment="1" applyProtection="1">
      <alignment horizontal="center" vertical="center" shrinkToFit="1"/>
    </xf>
    <xf numFmtId="0" fontId="36" fillId="0" borderId="0" xfId="0" applyFont="1" applyAlignment="1" applyProtection="1">
      <alignment horizontal="center" vertical="center" shrinkToFit="1"/>
    </xf>
    <xf numFmtId="0" fontId="35" fillId="0" borderId="37" xfId="0" applyFont="1" applyBorder="1" applyAlignment="1" applyProtection="1">
      <alignment horizontal="center" vertical="center"/>
    </xf>
    <xf numFmtId="0" fontId="35" fillId="0" borderId="0" xfId="0" applyFont="1" applyAlignment="1" applyProtection="1">
      <alignment horizontal="center" vertical="center"/>
    </xf>
    <xf numFmtId="0" fontId="35" fillId="0" borderId="38" xfId="0" applyFont="1" applyBorder="1" applyAlignment="1" applyProtection="1">
      <alignment horizontal="center" vertical="center"/>
    </xf>
    <xf numFmtId="0" fontId="7" fillId="0" borderId="39" xfId="0" applyFont="1" applyBorder="1" applyProtection="1">
      <alignment vertical="center"/>
    </xf>
    <xf numFmtId="0" fontId="7" fillId="0" borderId="42" xfId="0" applyFont="1" applyBorder="1" applyProtection="1">
      <alignment vertical="center"/>
    </xf>
    <xf numFmtId="0" fontId="7" fillId="0" borderId="40" xfId="0" applyFont="1" applyBorder="1" applyProtection="1">
      <alignment vertical="center"/>
    </xf>
    <xf numFmtId="0" fontId="16"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16" fillId="0" borderId="0" xfId="0" applyFont="1" applyAlignment="1" applyProtection="1">
      <alignment vertical="center" shrinkToFit="1"/>
    </xf>
    <xf numFmtId="0" fontId="16" fillId="0" borderId="0" xfId="0" applyFont="1" applyBorder="1" applyAlignment="1" applyProtection="1">
      <alignment vertical="center" shrinkToFit="1"/>
    </xf>
    <xf numFmtId="0" fontId="16" fillId="0" borderId="46" xfId="0" applyFont="1" applyBorder="1" applyProtection="1">
      <alignment vertical="center"/>
    </xf>
    <xf numFmtId="0" fontId="16" fillId="0" borderId="52" xfId="0" applyFont="1" applyBorder="1" applyProtection="1">
      <alignment vertical="center"/>
    </xf>
    <xf numFmtId="0" fontId="16" fillId="0" borderId="49" xfId="0" applyFont="1" applyBorder="1" applyProtection="1">
      <alignment vertical="center"/>
    </xf>
    <xf numFmtId="0" fontId="16" fillId="0" borderId="13" xfId="0" applyFont="1" applyBorder="1" applyAlignment="1" applyProtection="1">
      <alignment vertical="center" shrinkToFit="1"/>
    </xf>
    <xf numFmtId="0" fontId="28" fillId="0" borderId="4" xfId="0" applyFont="1" applyBorder="1" applyAlignment="1" applyProtection="1">
      <alignment horizontal="center" vertical="center"/>
    </xf>
    <xf numFmtId="183" fontId="8" fillId="0" borderId="75" xfId="0" applyNumberFormat="1" applyFont="1" applyFill="1" applyBorder="1" applyAlignment="1" applyProtection="1">
      <alignment horizontal="center" vertical="center"/>
    </xf>
    <xf numFmtId="3" fontId="8" fillId="6" borderId="76" xfId="0" applyNumberFormat="1" applyFont="1" applyFill="1" applyBorder="1" applyAlignment="1" applyProtection="1">
      <alignment horizontal="center" vertical="center"/>
      <protection locked="0"/>
    </xf>
    <xf numFmtId="183" fontId="8" fillId="0" borderId="76" xfId="0" applyNumberFormat="1" applyFont="1" applyFill="1" applyBorder="1" applyAlignment="1" applyProtection="1">
      <alignment horizontal="center" vertical="center"/>
    </xf>
    <xf numFmtId="183" fontId="8" fillId="0" borderId="77" xfId="0" applyNumberFormat="1" applyFont="1" applyFill="1" applyBorder="1" applyAlignment="1" applyProtection="1">
      <alignment horizontal="center" vertical="center"/>
    </xf>
    <xf numFmtId="0" fontId="28" fillId="0" borderId="82" xfId="0" applyFont="1" applyBorder="1" applyAlignment="1" applyProtection="1">
      <alignment horizontal="center" vertical="center"/>
    </xf>
    <xf numFmtId="0" fontId="8" fillId="6" borderId="65" xfId="0" applyFont="1" applyFill="1" applyBorder="1" applyAlignment="1" applyProtection="1">
      <alignment horizontal="center" vertical="center"/>
      <protection locked="0"/>
    </xf>
    <xf numFmtId="0" fontId="8" fillId="6" borderId="66" xfId="0" applyFont="1" applyFill="1" applyBorder="1" applyAlignment="1" applyProtection="1">
      <alignment horizontal="center" vertical="center"/>
      <protection locked="0"/>
    </xf>
    <xf numFmtId="0" fontId="8" fillId="6" borderId="67"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xf>
    <xf numFmtId="0" fontId="8" fillId="0" borderId="2" xfId="0" applyFont="1" applyBorder="1" applyAlignment="1" applyProtection="1">
      <alignment horizontal="center" vertical="center" shrinkToFit="1"/>
    </xf>
    <xf numFmtId="0" fontId="8" fillId="5" borderId="78" xfId="0" applyFont="1" applyFill="1" applyBorder="1" applyAlignment="1" applyProtection="1">
      <alignment vertical="center" textRotation="255"/>
    </xf>
    <xf numFmtId="178" fontId="10" fillId="0" borderId="16" xfId="0" applyNumberFormat="1" applyFont="1" applyBorder="1" applyAlignment="1">
      <alignment horizontal="center" vertical="center"/>
    </xf>
    <xf numFmtId="0" fontId="28" fillId="0" borderId="82" xfId="0" applyFont="1" applyFill="1" applyBorder="1" applyAlignment="1" applyProtection="1">
      <alignment horizontal="center" vertical="center"/>
    </xf>
    <xf numFmtId="0" fontId="8" fillId="0" borderId="1" xfId="0" applyFont="1" applyBorder="1" applyAlignment="1" applyProtection="1">
      <alignment vertical="center" shrinkToFit="1"/>
    </xf>
    <xf numFmtId="0" fontId="16" fillId="0" borderId="1" xfId="0" applyFont="1" applyBorder="1" applyAlignment="1" applyProtection="1">
      <alignment vertical="center" shrinkToFit="1"/>
    </xf>
    <xf numFmtId="0" fontId="16" fillId="0" borderId="1" xfId="0" applyFont="1" applyBorder="1" applyAlignment="1" applyProtection="1">
      <alignment horizontal="center" vertical="center" shrinkToFit="1"/>
    </xf>
    <xf numFmtId="0" fontId="7" fillId="0" borderId="0" xfId="0" applyFont="1" applyAlignment="1" applyProtection="1">
      <alignment vertical="center"/>
    </xf>
    <xf numFmtId="0" fontId="7" fillId="0" borderId="0" xfId="0" applyFont="1" applyBorder="1" applyAlignment="1" applyProtection="1">
      <alignment vertical="center"/>
    </xf>
    <xf numFmtId="0" fontId="0" fillId="0" borderId="0" xfId="0" applyBorder="1" applyAlignment="1" applyProtection="1">
      <alignment vertical="center"/>
    </xf>
    <xf numFmtId="0" fontId="7" fillId="0" borderId="0" xfId="0" applyFont="1" applyAlignment="1" applyProtection="1">
      <alignment vertical="center" wrapText="1"/>
    </xf>
    <xf numFmtId="0" fontId="7" fillId="0" borderId="0" xfId="0" applyFont="1" applyAlignment="1" applyProtection="1">
      <alignment horizontal="left" vertical="distributed" wrapText="1"/>
    </xf>
    <xf numFmtId="0" fontId="7" fillId="0" borderId="0" xfId="0" applyFont="1" applyProtection="1">
      <alignment vertical="center"/>
    </xf>
    <xf numFmtId="0" fontId="28" fillId="0" borderId="0" xfId="0" applyFont="1" applyAlignment="1" applyProtection="1">
      <alignment horizontal="left" vertical="center"/>
    </xf>
    <xf numFmtId="0" fontId="7" fillId="0" borderId="0" xfId="0" applyFont="1" applyAlignment="1" applyProtection="1">
      <alignment horizontal="center" vertical="center"/>
    </xf>
    <xf numFmtId="0" fontId="7" fillId="0" borderId="1" xfId="0" applyFont="1" applyBorder="1" applyAlignment="1" applyProtection="1">
      <alignment horizontal="center" vertical="center"/>
    </xf>
    <xf numFmtId="0" fontId="19" fillId="0" borderId="0" xfId="0" applyFont="1" applyAlignment="1" applyProtection="1">
      <alignment horizontal="center" vertical="center"/>
    </xf>
    <xf numFmtId="0" fontId="16" fillId="0" borderId="55" xfId="0" applyFont="1" applyBorder="1" applyAlignment="1" applyProtection="1">
      <alignment vertical="center"/>
    </xf>
    <xf numFmtId="0" fontId="0" fillId="0" borderId="56" xfId="0" applyBorder="1" applyAlignment="1" applyProtection="1">
      <alignment vertical="center"/>
    </xf>
    <xf numFmtId="0" fontId="0" fillId="0" borderId="57" xfId="0" applyBorder="1" applyAlignment="1" applyProtection="1">
      <alignment vertical="center"/>
    </xf>
    <xf numFmtId="0" fontId="16" fillId="0" borderId="58" xfId="0" applyFont="1" applyBorder="1" applyAlignment="1" applyProtection="1">
      <alignment vertical="center"/>
    </xf>
    <xf numFmtId="0" fontId="0" fillId="0" borderId="59" xfId="0" applyBorder="1" applyAlignment="1" applyProtection="1">
      <alignment vertical="center"/>
    </xf>
    <xf numFmtId="0" fontId="16" fillId="0" borderId="60" xfId="0" applyFont="1" applyBorder="1" applyAlignment="1" applyProtection="1">
      <alignment vertical="center"/>
    </xf>
    <xf numFmtId="0" fontId="16" fillId="0" borderId="1" xfId="0" applyFont="1" applyBorder="1" applyAlignment="1" applyProtection="1">
      <alignment horizontal="center" vertical="center"/>
    </xf>
    <xf numFmtId="0" fontId="16" fillId="0" borderId="0" xfId="0" applyFont="1" applyAlignment="1" applyProtection="1">
      <alignment horizontal="center" vertical="center"/>
    </xf>
    <xf numFmtId="0" fontId="16" fillId="0" borderId="3" xfId="0" applyFont="1" applyBorder="1" applyAlignment="1" applyProtection="1">
      <alignment horizontal="center" vertical="center"/>
    </xf>
    <xf numFmtId="0" fontId="16" fillId="0" borderId="13" xfId="0" applyFont="1" applyBorder="1" applyAlignment="1" applyProtection="1">
      <alignment horizontal="center" vertical="center"/>
    </xf>
    <xf numFmtId="0" fontId="9" fillId="0" borderId="0" xfId="0" applyFont="1" applyProtection="1">
      <alignment vertical="center"/>
    </xf>
    <xf numFmtId="0" fontId="9" fillId="0" borderId="0" xfId="0" applyFont="1" applyBorder="1" applyProtection="1">
      <alignment vertical="center"/>
    </xf>
    <xf numFmtId="0" fontId="9" fillId="0" borderId="0" xfId="0" applyFont="1" applyAlignment="1" applyProtection="1">
      <alignment horizontal="center" vertical="center"/>
    </xf>
    <xf numFmtId="0" fontId="6" fillId="0" borderId="0" xfId="0" applyFont="1" applyAlignment="1" applyProtection="1">
      <alignment vertical="center"/>
    </xf>
    <xf numFmtId="0" fontId="9" fillId="0" borderId="0" xfId="0" applyFont="1" applyAlignment="1" applyProtection="1">
      <alignment vertical="top" wrapText="1"/>
    </xf>
    <xf numFmtId="0" fontId="35" fillId="0" borderId="0" xfId="0" applyFont="1" applyAlignment="1" applyProtection="1">
      <alignment vertical="top"/>
    </xf>
    <xf numFmtId="190" fontId="35" fillId="0" borderId="0" xfId="0" applyNumberFormat="1" applyFont="1" applyBorder="1" applyAlignment="1" applyProtection="1">
      <alignment vertical="center"/>
    </xf>
    <xf numFmtId="191" fontId="9" fillId="0" borderId="0" xfId="0" applyNumberFormat="1" applyFont="1" applyBorder="1" applyAlignment="1" applyProtection="1">
      <alignment vertical="center"/>
    </xf>
    <xf numFmtId="191" fontId="35"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0" fontId="35" fillId="0" borderId="0" xfId="0" applyFont="1" applyBorder="1" applyAlignment="1" applyProtection="1">
      <alignment horizontal="center" vertical="center"/>
    </xf>
    <xf numFmtId="0" fontId="9" fillId="0" borderId="0" xfId="0" applyFont="1" applyBorder="1" applyAlignment="1" applyProtection="1">
      <alignment vertical="center"/>
    </xf>
    <xf numFmtId="0" fontId="35" fillId="0" borderId="0" xfId="0" applyFont="1" applyBorder="1" applyAlignment="1" applyProtection="1">
      <alignment vertical="center"/>
    </xf>
    <xf numFmtId="0" fontId="9" fillId="0" borderId="0" xfId="0" applyFont="1" applyBorder="1" applyAlignment="1" applyProtection="1">
      <alignment vertical="center" shrinkToFit="1"/>
    </xf>
    <xf numFmtId="0" fontId="35" fillId="0" borderId="0" xfId="0" applyFont="1" applyBorder="1" applyAlignment="1" applyProtection="1">
      <alignment vertical="center" shrinkToFit="1"/>
    </xf>
    <xf numFmtId="189" fontId="9" fillId="0" borderId="0" xfId="0" applyNumberFormat="1" applyFont="1" applyBorder="1" applyAlignment="1" applyProtection="1">
      <alignment horizontal="center" vertical="center" shrinkToFit="1"/>
    </xf>
    <xf numFmtId="189" fontId="35" fillId="0" borderId="0" xfId="0" applyNumberFormat="1" applyFont="1" applyBorder="1" applyAlignment="1" applyProtection="1">
      <alignment horizontal="center" vertical="center" shrinkToFit="1"/>
    </xf>
    <xf numFmtId="0" fontId="35" fillId="0" borderId="0" xfId="0" applyFont="1" applyBorder="1" applyAlignment="1" applyProtection="1">
      <alignment horizontal="center" vertical="center" shrinkToFit="1"/>
    </xf>
    <xf numFmtId="190" fontId="9" fillId="0" borderId="0" xfId="0" applyNumberFormat="1" applyFont="1" applyBorder="1" applyAlignment="1" applyProtection="1">
      <alignment vertical="center" shrinkToFit="1"/>
    </xf>
    <xf numFmtId="190" fontId="35" fillId="0" borderId="0" xfId="0" applyNumberFormat="1" applyFont="1" applyBorder="1" applyAlignment="1" applyProtection="1">
      <alignment vertical="center" shrinkToFit="1"/>
    </xf>
    <xf numFmtId="191" fontId="9" fillId="0" borderId="0" xfId="0" applyNumberFormat="1" applyFont="1" applyBorder="1" applyAlignment="1" applyProtection="1">
      <alignment vertical="center" shrinkToFit="1"/>
    </xf>
    <xf numFmtId="191" fontId="35" fillId="0" borderId="0" xfId="0" applyNumberFormat="1" applyFont="1" applyBorder="1" applyAlignment="1" applyProtection="1">
      <alignment vertical="center" shrinkToFit="1"/>
    </xf>
    <xf numFmtId="0" fontId="9" fillId="0" borderId="0" xfId="0" applyFont="1" applyBorder="1" applyAlignment="1" applyProtection="1">
      <alignment horizontal="center" vertical="center" shrinkToFit="1"/>
    </xf>
    <xf numFmtId="0" fontId="9" fillId="0" borderId="0" xfId="0" applyFont="1" applyFill="1" applyAlignment="1" applyProtection="1">
      <alignment vertical="center"/>
    </xf>
    <xf numFmtId="0" fontId="35" fillId="0" borderId="0" xfId="0" applyFont="1" applyFill="1" applyAlignment="1" applyProtection="1">
      <alignment vertical="center"/>
    </xf>
    <xf numFmtId="0" fontId="48" fillId="0" borderId="0" xfId="0" applyFont="1" applyProtection="1">
      <alignment vertical="center"/>
    </xf>
    <xf numFmtId="179" fontId="9" fillId="0" borderId="0" xfId="0" applyNumberFormat="1" applyFont="1" applyBorder="1" applyAlignment="1" applyProtection="1">
      <alignment vertical="center" shrinkToFit="1"/>
    </xf>
    <xf numFmtId="0" fontId="13" fillId="0" borderId="0" xfId="0" applyFont="1" applyAlignment="1" applyProtection="1">
      <alignment vertical="center"/>
    </xf>
    <xf numFmtId="0" fontId="0" fillId="0" borderId="58" xfId="0" applyBorder="1" applyAlignment="1" applyProtection="1">
      <alignment vertical="center"/>
    </xf>
    <xf numFmtId="0" fontId="13" fillId="0" borderId="0" xfId="0" applyFont="1" applyBorder="1" applyAlignment="1" applyProtection="1">
      <alignment vertical="center"/>
    </xf>
    <xf numFmtId="0" fontId="13" fillId="0" borderId="59" xfId="0" applyFont="1" applyBorder="1" applyAlignment="1" applyProtection="1">
      <alignment vertical="center"/>
    </xf>
    <xf numFmtId="0" fontId="13" fillId="0" borderId="58" xfId="0" applyFont="1" applyBorder="1" applyAlignment="1" applyProtection="1">
      <alignment vertical="center"/>
    </xf>
    <xf numFmtId="0" fontId="13" fillId="0" borderId="61" xfId="0" applyFont="1" applyBorder="1" applyAlignment="1" applyProtection="1">
      <alignment vertical="center"/>
    </xf>
    <xf numFmtId="0" fontId="13" fillId="0" borderId="62" xfId="0" applyFont="1" applyBorder="1" applyAlignment="1" applyProtection="1">
      <alignment vertical="center"/>
    </xf>
    <xf numFmtId="0" fontId="13" fillId="0" borderId="60" xfId="0" applyFont="1" applyBorder="1" applyAlignment="1" applyProtection="1">
      <alignment vertical="center"/>
    </xf>
    <xf numFmtId="49" fontId="7" fillId="0" borderId="1" xfId="0" applyNumberFormat="1" applyFont="1" applyBorder="1" applyAlignment="1" applyProtection="1">
      <alignment horizontal="center" vertical="center"/>
    </xf>
    <xf numFmtId="0" fontId="35" fillId="0" borderId="0" xfId="0" applyFont="1" applyAlignment="1" applyProtection="1">
      <alignment vertical="center"/>
    </xf>
    <xf numFmtId="0" fontId="9" fillId="0" borderId="0" xfId="0" applyFont="1" applyAlignment="1" applyProtection="1">
      <alignment vertical="center" wrapText="1"/>
    </xf>
    <xf numFmtId="0" fontId="9" fillId="0" borderId="0" xfId="0" applyFont="1" applyBorder="1" applyAlignment="1" applyProtection="1">
      <alignment horizontal="left" vertical="center"/>
    </xf>
    <xf numFmtId="0" fontId="35" fillId="0" borderId="0" xfId="0" applyFont="1" applyBorder="1" applyAlignment="1" applyProtection="1">
      <alignment horizontal="left" vertical="center" shrinkToFit="1"/>
    </xf>
    <xf numFmtId="0" fontId="20" fillId="0" borderId="0" xfId="2" applyFont="1" applyAlignment="1" applyProtection="1">
      <alignment vertical="center"/>
    </xf>
    <xf numFmtId="0" fontId="20" fillId="0" borderId="1" xfId="2" applyFont="1" applyBorder="1" applyAlignment="1" applyProtection="1">
      <alignment horizontal="center" vertical="center"/>
    </xf>
    <xf numFmtId="0" fontId="20" fillId="0" borderId="0" xfId="2" applyFont="1" applyAlignment="1" applyProtection="1">
      <alignment vertical="center" shrinkToFit="1"/>
    </xf>
    <xf numFmtId="3" fontId="22" fillId="0" borderId="0" xfId="2" applyNumberFormat="1" applyFont="1" applyAlignment="1" applyProtection="1">
      <alignment horizontal="right" vertical="center"/>
    </xf>
    <xf numFmtId="0" fontId="20" fillId="0" borderId="1" xfId="2" applyFont="1" applyBorder="1" applyAlignment="1" applyProtection="1">
      <alignment horizontal="center" vertical="center" shrinkToFit="1"/>
    </xf>
    <xf numFmtId="0" fontId="20" fillId="0" borderId="8" xfId="2" applyFont="1" applyBorder="1" applyAlignment="1" applyProtection="1">
      <alignment horizontal="center" vertical="center" shrinkToFit="1"/>
    </xf>
    <xf numFmtId="0" fontId="22" fillId="0" borderId="0" xfId="2" applyFont="1" applyAlignment="1" applyProtection="1">
      <alignment horizontal="right" vertical="center"/>
    </xf>
    <xf numFmtId="3" fontId="22" fillId="0" borderId="0" xfId="2" applyNumberFormat="1" applyFont="1" applyAlignment="1" applyProtection="1">
      <alignment vertical="center"/>
    </xf>
    <xf numFmtId="177" fontId="20" fillId="0" borderId="0" xfId="2" applyNumberFormat="1" applyFont="1" applyAlignment="1" applyProtection="1">
      <alignment horizontal="distributed" vertical="center"/>
    </xf>
    <xf numFmtId="0" fontId="20" fillId="0" borderId="0" xfId="2" applyFont="1" applyAlignment="1" applyProtection="1">
      <alignment horizontal="distributed" vertical="center"/>
    </xf>
    <xf numFmtId="3" fontId="20" fillId="0" borderId="0" xfId="2" applyNumberFormat="1" applyFont="1" applyAlignment="1" applyProtection="1">
      <alignment vertical="center"/>
    </xf>
    <xf numFmtId="0" fontId="8" fillId="0" borderId="0" xfId="0" applyFont="1" applyAlignment="1">
      <alignment horizontal="left"/>
    </xf>
    <xf numFmtId="0" fontId="8" fillId="0" borderId="0" xfId="0" applyFont="1" applyAlignment="1">
      <alignment horizontal="left" vertical="top"/>
    </xf>
    <xf numFmtId="0" fontId="8" fillId="0" borderId="0" xfId="0" applyFont="1" applyAlignment="1">
      <alignment horizontal="right" vertical="center"/>
    </xf>
    <xf numFmtId="0" fontId="8" fillId="0" borderId="0" xfId="0" applyFont="1" applyAlignment="1">
      <alignment horizontal="center"/>
    </xf>
    <xf numFmtId="0" fontId="8" fillId="0" borderId="0" xfId="0" applyFont="1" applyAlignment="1">
      <alignment horizontal="left" vertical="top" wrapText="1"/>
    </xf>
    <xf numFmtId="0" fontId="9" fillId="0" borderId="1" xfId="0" applyFont="1" applyBorder="1" applyAlignment="1">
      <alignment horizontal="center"/>
    </xf>
    <xf numFmtId="0" fontId="9" fillId="0" borderId="1" xfId="0" applyFont="1" applyBorder="1" applyAlignment="1">
      <alignment horizontal="center" vertical="top"/>
    </xf>
    <xf numFmtId="0" fontId="9" fillId="0" borderId="1" xfId="0" applyFont="1" applyBorder="1" applyAlignment="1">
      <alignment horizontal="center" vertical="top" wrapText="1"/>
    </xf>
    <xf numFmtId="0" fontId="7" fillId="0" borderId="1" xfId="0" applyFont="1" applyBorder="1" applyAlignment="1" applyProtection="1">
      <alignment horizontal="center" vertical="center"/>
    </xf>
    <xf numFmtId="0" fontId="7" fillId="0" borderId="1" xfId="0" applyFont="1" applyBorder="1" applyAlignment="1" applyProtection="1">
      <alignment vertical="center" shrinkToFit="1"/>
    </xf>
    <xf numFmtId="49" fontId="7" fillId="0" borderId="1" xfId="0" applyNumberFormat="1" applyFont="1" applyBorder="1" applyAlignment="1" applyProtection="1">
      <alignment vertical="center" shrinkToFit="1"/>
    </xf>
    <xf numFmtId="0" fontId="0" fillId="0" borderId="0" xfId="0" applyBorder="1" applyAlignment="1" applyProtection="1">
      <alignment vertical="center"/>
    </xf>
    <xf numFmtId="0" fontId="35" fillId="0" borderId="0" xfId="0" applyFont="1" applyBorder="1" applyAlignment="1" applyProtection="1">
      <alignment vertical="center"/>
    </xf>
    <xf numFmtId="0" fontId="35" fillId="0" borderId="11" xfId="0" applyFont="1" applyBorder="1" applyAlignment="1" applyProtection="1">
      <alignment horizontal="center" vertical="center"/>
    </xf>
    <xf numFmtId="0" fontId="0" fillId="0" borderId="11" xfId="0" applyBorder="1" applyAlignment="1" applyProtection="1">
      <alignment vertical="center" wrapText="1"/>
    </xf>
    <xf numFmtId="0" fontId="0" fillId="0" borderId="0" xfId="0" applyBorder="1" applyAlignment="1" applyProtection="1">
      <alignment vertical="center" wrapText="1"/>
    </xf>
    <xf numFmtId="0" fontId="35" fillId="0" borderId="11" xfId="0" applyFont="1" applyBorder="1" applyAlignment="1" applyProtection="1">
      <alignment vertical="center"/>
    </xf>
    <xf numFmtId="0" fontId="0" fillId="0" borderId="11" xfId="0" applyBorder="1" applyAlignment="1" applyProtection="1">
      <alignment vertical="center"/>
    </xf>
    <xf numFmtId="0" fontId="9" fillId="0" borderId="1" xfId="0" applyFont="1" applyBorder="1" applyAlignment="1" applyProtection="1">
      <alignment horizontal="left" vertical="top" wrapText="1"/>
      <protection locked="0"/>
    </xf>
    <xf numFmtId="0" fontId="9" fillId="0" borderId="1" xfId="0" applyFont="1" applyBorder="1" applyAlignment="1" applyProtection="1">
      <alignment horizontal="left"/>
      <protection locked="0"/>
    </xf>
    <xf numFmtId="0" fontId="9" fillId="0" borderId="1" xfId="0" applyFont="1" applyBorder="1" applyAlignment="1" applyProtection="1">
      <alignment horizontal="left" vertical="center"/>
      <protection locked="0"/>
    </xf>
    <xf numFmtId="188" fontId="8" fillId="7" borderId="74" xfId="0" applyNumberFormat="1" applyFont="1" applyFill="1" applyBorder="1" applyAlignment="1" applyProtection="1">
      <alignment vertical="center" textRotation="255"/>
    </xf>
    <xf numFmtId="188" fontId="0" fillId="7" borderId="69" xfId="0" applyNumberFormat="1" applyFill="1" applyBorder="1" applyAlignment="1" applyProtection="1">
      <alignment vertical="center" textRotation="255"/>
    </xf>
    <xf numFmtId="188" fontId="0" fillId="7" borderId="71" xfId="0" applyNumberFormat="1" applyFill="1" applyBorder="1" applyAlignment="1" applyProtection="1">
      <alignment vertical="center" textRotation="255"/>
    </xf>
    <xf numFmtId="0" fontId="8" fillId="7" borderId="18" xfId="0" applyFont="1" applyFill="1" applyBorder="1" applyAlignment="1" applyProtection="1">
      <alignment horizontal="center" vertical="center"/>
    </xf>
    <xf numFmtId="0" fontId="0" fillId="7" borderId="5" xfId="0" applyFill="1" applyBorder="1" applyAlignment="1" applyProtection="1">
      <alignment horizontal="center" vertical="center"/>
    </xf>
    <xf numFmtId="0" fontId="0" fillId="7" borderId="10" xfId="0" applyFill="1" applyBorder="1" applyAlignment="1" applyProtection="1">
      <alignment horizontal="center" vertical="center"/>
    </xf>
    <xf numFmtId="0" fontId="8" fillId="0" borderId="18" xfId="0" applyFont="1" applyBorder="1" applyAlignment="1" applyProtection="1">
      <alignment vertical="center" shrinkToFit="1"/>
    </xf>
    <xf numFmtId="0" fontId="0" fillId="0" borderId="5" xfId="0" applyBorder="1" applyAlignment="1" applyProtection="1">
      <alignment vertical="center" shrinkToFit="1"/>
    </xf>
    <xf numFmtId="0" fontId="0" fillId="0" borderId="73" xfId="0" applyBorder="1" applyAlignment="1" applyProtection="1">
      <alignment vertical="center" shrinkToFit="1"/>
    </xf>
    <xf numFmtId="0" fontId="8" fillId="7" borderId="7" xfId="0" applyFont="1" applyFill="1" applyBorder="1" applyAlignment="1" applyProtection="1">
      <alignment horizontal="center" vertical="center"/>
    </xf>
    <xf numFmtId="0" fontId="0" fillId="7" borderId="8" xfId="0" applyFill="1" applyBorder="1" applyAlignment="1" applyProtection="1">
      <alignment horizontal="center" vertical="center"/>
    </xf>
    <xf numFmtId="0" fontId="0" fillId="7" borderId="6" xfId="0" applyFill="1" applyBorder="1" applyAlignment="1" applyProtection="1">
      <alignment horizontal="center" vertical="center"/>
    </xf>
    <xf numFmtId="0" fontId="8" fillId="0" borderId="7" xfId="0" applyFont="1" applyBorder="1" applyAlignment="1" applyProtection="1">
      <alignment vertical="center" shrinkToFit="1"/>
    </xf>
    <xf numFmtId="0" fontId="0" fillId="0" borderId="8" xfId="0" applyBorder="1" applyAlignment="1" applyProtection="1">
      <alignment vertical="center" shrinkToFit="1"/>
    </xf>
    <xf numFmtId="0" fontId="0" fillId="0" borderId="70" xfId="0" applyBorder="1" applyAlignment="1" applyProtection="1">
      <alignment vertical="center" shrinkToFit="1"/>
    </xf>
    <xf numFmtId="0" fontId="8" fillId="7" borderId="7" xfId="0" applyFont="1" applyFill="1" applyBorder="1" applyAlignment="1" applyProtection="1">
      <alignment horizontal="center" vertical="center" wrapText="1"/>
    </xf>
    <xf numFmtId="0" fontId="8" fillId="7" borderId="43" xfId="0" applyFont="1" applyFill="1" applyBorder="1" applyAlignment="1" applyProtection="1">
      <alignment horizontal="center" vertical="center" wrapText="1"/>
    </xf>
    <xf numFmtId="0" fontId="0" fillId="7" borderId="44" xfId="0" applyFill="1" applyBorder="1" applyAlignment="1" applyProtection="1">
      <alignment horizontal="center" vertical="center"/>
    </xf>
    <xf numFmtId="0" fontId="0" fillId="7" borderId="45" xfId="0" applyFill="1" applyBorder="1" applyAlignment="1" applyProtection="1">
      <alignment horizontal="center" vertical="center"/>
    </xf>
    <xf numFmtId="0" fontId="8" fillId="0" borderId="43" xfId="0" applyFont="1" applyFill="1" applyBorder="1" applyAlignment="1" applyProtection="1">
      <alignment vertical="center" shrinkToFit="1"/>
    </xf>
    <xf numFmtId="0" fontId="0" fillId="0" borderId="44" xfId="0" applyFill="1" applyBorder="1" applyAlignment="1" applyProtection="1">
      <alignment vertical="center" shrinkToFit="1"/>
    </xf>
    <xf numFmtId="0" fontId="0" fillId="0" borderId="72" xfId="0" applyFill="1" applyBorder="1" applyAlignment="1" applyProtection="1">
      <alignment vertical="center" shrinkToFit="1"/>
    </xf>
    <xf numFmtId="0" fontId="8" fillId="0" borderId="2"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43" fillId="0" borderId="33" xfId="0" applyFont="1" applyBorder="1" applyAlignment="1" applyProtection="1">
      <alignment horizontal="center" vertical="center"/>
    </xf>
    <xf numFmtId="0" fontId="43" fillId="0" borderId="34" xfId="0" applyFont="1" applyBorder="1" applyAlignment="1" applyProtection="1">
      <alignment horizontal="center" vertical="center"/>
    </xf>
    <xf numFmtId="0" fontId="43" fillId="0" borderId="8" xfId="0" applyFont="1" applyBorder="1" applyAlignment="1" applyProtection="1">
      <alignment horizontal="center" vertical="center"/>
    </xf>
    <xf numFmtId="0" fontId="43" fillId="0" borderId="6" xfId="0" applyFont="1" applyBorder="1" applyAlignment="1" applyProtection="1">
      <alignment horizontal="center" vertical="center"/>
    </xf>
    <xf numFmtId="0" fontId="8" fillId="6" borderId="7" xfId="0" applyFont="1" applyFill="1" applyBorder="1" applyAlignment="1" applyProtection="1">
      <alignment horizontal="left" vertical="center"/>
      <protection locked="0"/>
    </xf>
    <xf numFmtId="0" fontId="43" fillId="6" borderId="8" xfId="0" applyFont="1" applyFill="1" applyBorder="1" applyAlignment="1" applyProtection="1">
      <alignment horizontal="left" vertical="center"/>
      <protection locked="0"/>
    </xf>
    <xf numFmtId="0" fontId="43" fillId="6" borderId="6" xfId="0" applyFont="1" applyFill="1" applyBorder="1" applyAlignment="1" applyProtection="1">
      <alignment horizontal="left" vertical="center"/>
      <protection locked="0"/>
    </xf>
    <xf numFmtId="0" fontId="8" fillId="0" borderId="7" xfId="0" applyFont="1" applyBorder="1" applyAlignment="1" applyProtection="1">
      <alignment horizontal="left" vertical="center"/>
    </xf>
    <xf numFmtId="0" fontId="43" fillId="0" borderId="8" xfId="0" applyFont="1" applyBorder="1" applyAlignment="1" applyProtection="1">
      <alignment horizontal="left" vertical="center"/>
    </xf>
    <xf numFmtId="0" fontId="43" fillId="0" borderId="70" xfId="0" applyFont="1" applyBorder="1" applyAlignment="1" applyProtection="1">
      <alignment horizontal="left" vertical="center"/>
    </xf>
    <xf numFmtId="0" fontId="8" fillId="0" borderId="32" xfId="0" applyFont="1" applyBorder="1" applyAlignment="1" applyProtection="1">
      <alignment horizontal="left" vertical="center"/>
    </xf>
    <xf numFmtId="0" fontId="43" fillId="0" borderId="33" xfId="0" applyFont="1" applyBorder="1" applyAlignment="1" applyProtection="1">
      <alignment horizontal="left" vertical="center"/>
    </xf>
    <xf numFmtId="0" fontId="43" fillId="0" borderId="68" xfId="0" applyFont="1" applyBorder="1" applyAlignment="1" applyProtection="1">
      <alignment horizontal="left" vertical="center"/>
    </xf>
    <xf numFmtId="0" fontId="43" fillId="7" borderId="8" xfId="0" applyFont="1" applyFill="1" applyBorder="1" applyAlignment="1" applyProtection="1">
      <alignment horizontal="center" vertical="center"/>
    </xf>
    <xf numFmtId="0" fontId="43" fillId="7" borderId="6" xfId="0" applyFont="1" applyFill="1" applyBorder="1" applyAlignment="1" applyProtection="1">
      <alignment horizontal="center" vertical="center"/>
    </xf>
    <xf numFmtId="49" fontId="8" fillId="6" borderId="26" xfId="0" applyNumberFormat="1" applyFont="1" applyFill="1" applyBorder="1" applyAlignment="1" applyProtection="1">
      <alignment horizontal="center" vertical="center" shrinkToFit="1"/>
      <protection locked="0"/>
    </xf>
    <xf numFmtId="0" fontId="28" fillId="6" borderId="27" xfId="0" applyFont="1" applyFill="1" applyBorder="1" applyAlignment="1" applyProtection="1">
      <alignment vertical="center" shrinkToFit="1"/>
      <protection locked="0"/>
    </xf>
    <xf numFmtId="49" fontId="8" fillId="6" borderId="27" xfId="0" applyNumberFormat="1" applyFont="1" applyFill="1" applyBorder="1" applyAlignment="1" applyProtection="1">
      <alignment horizontal="center" vertical="center" shrinkToFit="1"/>
      <protection locked="0"/>
    </xf>
    <xf numFmtId="0" fontId="28" fillId="6" borderId="28" xfId="0" applyFont="1" applyFill="1" applyBorder="1" applyAlignment="1" applyProtection="1">
      <alignment vertical="center" shrinkToFit="1"/>
      <protection locked="0"/>
    </xf>
    <xf numFmtId="0" fontId="8" fillId="0" borderId="2" xfId="0" applyFont="1" applyBorder="1" applyAlignment="1" applyProtection="1">
      <alignment vertical="center" shrinkToFit="1"/>
    </xf>
    <xf numFmtId="0" fontId="43" fillId="0" borderId="3" xfId="0" applyFont="1" applyBorder="1" applyAlignment="1" applyProtection="1">
      <alignment vertical="center" shrinkToFit="1"/>
    </xf>
    <xf numFmtId="0" fontId="43" fillId="0" borderId="4" xfId="0" applyFont="1" applyBorder="1" applyAlignment="1" applyProtection="1">
      <alignment vertical="center" shrinkToFit="1"/>
    </xf>
    <xf numFmtId="0" fontId="8" fillId="5" borderId="43" xfId="0" applyFont="1" applyFill="1" applyBorder="1" applyAlignment="1" applyProtection="1">
      <alignment horizontal="center" vertical="center"/>
    </xf>
    <xf numFmtId="0" fontId="28" fillId="5" borderId="44" xfId="0" applyFont="1" applyFill="1" applyBorder="1" applyAlignment="1" applyProtection="1">
      <alignment horizontal="center" vertical="center"/>
    </xf>
    <xf numFmtId="0" fontId="28" fillId="5" borderId="45" xfId="0" applyFont="1" applyFill="1" applyBorder="1" applyAlignment="1" applyProtection="1">
      <alignment horizontal="center" vertical="center"/>
    </xf>
    <xf numFmtId="0" fontId="28" fillId="6" borderId="8" xfId="0" applyFont="1" applyFill="1" applyBorder="1" applyAlignment="1" applyProtection="1">
      <alignment horizontal="left" vertical="center"/>
      <protection locked="0"/>
    </xf>
    <xf numFmtId="0" fontId="28" fillId="6" borderId="6" xfId="0" applyFont="1" applyFill="1" applyBorder="1" applyAlignment="1" applyProtection="1">
      <alignment horizontal="left" vertical="center"/>
      <protection locked="0"/>
    </xf>
    <xf numFmtId="0" fontId="8" fillId="5" borderId="7" xfId="0" applyFont="1" applyFill="1" applyBorder="1" applyAlignment="1" applyProtection="1">
      <alignment horizontal="center" vertical="center"/>
    </xf>
    <xf numFmtId="0" fontId="28" fillId="5" borderId="8" xfId="0" applyFont="1" applyFill="1" applyBorder="1" applyAlignment="1" applyProtection="1">
      <alignment horizontal="center" vertical="center"/>
    </xf>
    <xf numFmtId="0" fontId="28" fillId="5" borderId="6" xfId="0" applyFont="1" applyFill="1" applyBorder="1" applyAlignment="1" applyProtection="1">
      <alignment horizontal="center" vertical="center"/>
    </xf>
    <xf numFmtId="0" fontId="8" fillId="6" borderId="86" xfId="0" applyFont="1" applyFill="1" applyBorder="1" applyAlignment="1" applyProtection="1">
      <alignment horizontal="left" vertical="center"/>
    </xf>
    <xf numFmtId="0" fontId="28" fillId="6" borderId="56" xfId="0" applyFont="1" applyFill="1" applyBorder="1" applyAlignment="1" applyProtection="1">
      <alignment horizontal="left" vertical="center"/>
    </xf>
    <xf numFmtId="0" fontId="28" fillId="6" borderId="87" xfId="0" applyFont="1" applyFill="1" applyBorder="1" applyAlignment="1" applyProtection="1">
      <alignment horizontal="left" vertical="center"/>
    </xf>
    <xf numFmtId="0" fontId="8" fillId="6" borderId="79" xfId="0" applyFont="1" applyFill="1" applyBorder="1" applyAlignment="1" applyProtection="1">
      <alignment horizontal="center" vertical="center"/>
      <protection locked="0"/>
    </xf>
    <xf numFmtId="0" fontId="28" fillId="6" borderId="80" xfId="0" applyFont="1" applyFill="1" applyBorder="1" applyAlignment="1" applyProtection="1">
      <alignment horizontal="center" vertical="center"/>
      <protection locked="0"/>
    </xf>
    <xf numFmtId="0" fontId="28" fillId="6" borderId="81" xfId="0" applyFont="1" applyFill="1" applyBorder="1" applyAlignment="1" applyProtection="1">
      <alignment horizontal="center" vertical="center"/>
      <protection locked="0"/>
    </xf>
    <xf numFmtId="0" fontId="8" fillId="0" borderId="82" xfId="0" applyFont="1" applyBorder="1" applyAlignment="1" applyProtection="1">
      <alignment vertical="center" wrapText="1" shrinkToFit="1"/>
    </xf>
    <xf numFmtId="0" fontId="28" fillId="0" borderId="82" xfId="0" applyFont="1" applyBorder="1" applyAlignment="1" applyProtection="1">
      <alignment vertical="center"/>
    </xf>
    <xf numFmtId="0" fontId="28" fillId="0" borderId="84" xfId="0" applyFont="1" applyBorder="1" applyAlignment="1" applyProtection="1">
      <alignment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8" fillId="0" borderId="6" xfId="0" applyFont="1" applyBorder="1" applyAlignment="1" applyProtection="1">
      <alignment vertical="center" wrapText="1"/>
    </xf>
    <xf numFmtId="0" fontId="8" fillId="0" borderId="43" xfId="0" applyFont="1" applyBorder="1" applyAlignment="1" applyProtection="1">
      <alignment vertical="center" shrinkToFit="1"/>
    </xf>
    <xf numFmtId="0" fontId="28" fillId="0" borderId="44" xfId="0" applyFont="1" applyBorder="1" applyAlignment="1" applyProtection="1">
      <alignment vertical="center"/>
    </xf>
    <xf numFmtId="0" fontId="28" fillId="0" borderId="72" xfId="0" applyFont="1" applyBorder="1" applyAlignment="1" applyProtection="1">
      <alignment vertical="center"/>
    </xf>
    <xf numFmtId="0" fontId="8" fillId="0" borderId="1" xfId="0" applyFont="1" applyBorder="1" applyAlignment="1" applyProtection="1">
      <alignment vertical="center" wrapText="1" shrinkToFit="1"/>
    </xf>
    <xf numFmtId="0" fontId="28" fillId="0" borderId="1" xfId="0" applyFont="1" applyBorder="1" applyAlignment="1" applyProtection="1">
      <alignment vertical="center"/>
    </xf>
    <xf numFmtId="0" fontId="8" fillId="0" borderId="1" xfId="0" applyFont="1" applyBorder="1" applyAlignment="1" applyProtection="1">
      <alignment vertical="center" shrinkToFit="1"/>
    </xf>
    <xf numFmtId="0" fontId="28" fillId="0" borderId="1" xfId="0" applyFont="1" applyBorder="1" applyAlignment="1" applyProtection="1">
      <alignment vertical="center" shrinkToFit="1"/>
    </xf>
    <xf numFmtId="0" fontId="28" fillId="0" borderId="8" xfId="0" applyFont="1" applyBorder="1" applyAlignment="1" applyProtection="1">
      <alignment vertical="center" wrapText="1"/>
    </xf>
    <xf numFmtId="0" fontId="28" fillId="0" borderId="6" xfId="0" applyFont="1" applyBorder="1" applyAlignment="1" applyProtection="1">
      <alignment vertical="center" wrapText="1"/>
    </xf>
    <xf numFmtId="0" fontId="8" fillId="0" borderId="7" xfId="0" applyFont="1" applyBorder="1" applyAlignment="1" applyProtection="1">
      <alignment horizontal="center" vertical="center" wrapText="1"/>
    </xf>
    <xf numFmtId="0" fontId="28" fillId="0" borderId="8" xfId="0" applyFont="1" applyBorder="1" applyAlignment="1" applyProtection="1">
      <alignment horizontal="center" vertical="center" wrapText="1"/>
    </xf>
    <xf numFmtId="0" fontId="28" fillId="0" borderId="6" xfId="0" applyFont="1" applyBorder="1" applyAlignment="1" applyProtection="1">
      <alignment horizontal="center" vertical="center" wrapText="1"/>
    </xf>
    <xf numFmtId="0" fontId="28" fillId="0" borderId="8" xfId="0" applyFont="1" applyBorder="1" applyAlignment="1" applyProtection="1">
      <alignment horizontal="center" vertical="center"/>
    </xf>
    <xf numFmtId="0" fontId="28" fillId="0" borderId="6" xfId="0" applyFont="1" applyBorder="1" applyAlignment="1" applyProtection="1">
      <alignment vertical="center"/>
    </xf>
    <xf numFmtId="0" fontId="31" fillId="0" borderId="7" xfId="0" applyFont="1" applyBorder="1" applyAlignment="1" applyProtection="1">
      <alignment horizontal="center" vertical="center"/>
    </xf>
    <xf numFmtId="0" fontId="31" fillId="0" borderId="8" xfId="0" applyFont="1" applyBorder="1" applyAlignment="1" applyProtection="1">
      <alignment horizontal="center" vertical="center"/>
    </xf>
    <xf numFmtId="0" fontId="32" fillId="0" borderId="6"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28" fillId="0" borderId="1" xfId="0" applyFont="1" applyBorder="1" applyAlignment="1" applyProtection="1">
      <alignment horizontal="center" vertical="center" shrinkToFit="1"/>
    </xf>
    <xf numFmtId="0" fontId="8" fillId="0" borderId="7" xfId="0" applyFont="1" applyBorder="1" applyAlignment="1" applyProtection="1">
      <alignment horizontal="center" vertical="center" wrapText="1" shrinkToFit="1"/>
    </xf>
    <xf numFmtId="0" fontId="8" fillId="0" borderId="8" xfId="0" applyFont="1" applyBorder="1" applyAlignment="1" applyProtection="1">
      <alignment horizontal="center" vertical="center" wrapText="1" shrinkToFit="1"/>
    </xf>
    <xf numFmtId="0" fontId="8" fillId="0" borderId="6" xfId="0" applyFont="1" applyBorder="1" applyAlignment="1" applyProtection="1">
      <alignment horizontal="center" vertical="center" wrapText="1" shrinkToFit="1"/>
    </xf>
    <xf numFmtId="0" fontId="8" fillId="5" borderId="82" xfId="0" applyFont="1" applyFill="1" applyBorder="1" applyAlignment="1" applyProtection="1">
      <alignment horizontal="center" vertical="center" wrapText="1"/>
    </xf>
    <xf numFmtId="0" fontId="28" fillId="5" borderId="82" xfId="0" applyFont="1" applyFill="1" applyBorder="1" applyAlignment="1" applyProtection="1">
      <alignment vertical="center"/>
    </xf>
    <xf numFmtId="0" fontId="8" fillId="5" borderId="79" xfId="0" applyFont="1" applyFill="1" applyBorder="1" applyAlignment="1" applyProtection="1">
      <alignment horizontal="center" vertical="center"/>
    </xf>
    <xf numFmtId="0" fontId="0" fillId="5" borderId="80" xfId="0" applyFill="1" applyBorder="1" applyAlignment="1" applyProtection="1">
      <alignment horizontal="center" vertical="center"/>
    </xf>
    <xf numFmtId="0" fontId="0" fillId="5" borderId="81" xfId="0" applyFill="1" applyBorder="1" applyAlignment="1" applyProtection="1">
      <alignment horizontal="center" vertical="center"/>
    </xf>
    <xf numFmtId="183" fontId="8" fillId="0" borderId="79" xfId="0" applyNumberFormat="1" applyFont="1" applyFill="1" applyBorder="1" applyAlignment="1" applyProtection="1">
      <alignment horizontal="center" vertical="center"/>
    </xf>
    <xf numFmtId="0" fontId="0" fillId="0" borderId="80" xfId="0" applyFill="1" applyBorder="1" applyAlignment="1" applyProtection="1">
      <alignment horizontal="center" vertical="center"/>
    </xf>
    <xf numFmtId="0" fontId="0" fillId="0" borderId="81" xfId="0" applyFill="1" applyBorder="1" applyAlignment="1" applyProtection="1">
      <alignment horizontal="center" vertical="center"/>
    </xf>
    <xf numFmtId="0" fontId="8" fillId="0" borderId="79" xfId="0" applyFont="1" applyFill="1" applyBorder="1" applyAlignment="1" applyProtection="1">
      <alignment vertical="center" shrinkToFit="1"/>
    </xf>
    <xf numFmtId="0" fontId="0" fillId="0" borderId="80" xfId="0" applyFill="1" applyBorder="1" applyAlignment="1" applyProtection="1">
      <alignment vertical="center"/>
    </xf>
    <xf numFmtId="0" fontId="0" fillId="0" borderId="83" xfId="0" applyFill="1" applyBorder="1" applyAlignment="1" applyProtection="1">
      <alignment vertical="center"/>
    </xf>
    <xf numFmtId="0" fontId="8" fillId="0" borderId="0" xfId="0" applyFont="1" applyBorder="1" applyAlignment="1" applyProtection="1">
      <alignment vertical="center" wrapText="1"/>
    </xf>
    <xf numFmtId="0" fontId="8" fillId="0" borderId="0"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Fill="1" applyBorder="1" applyAlignment="1" applyProtection="1">
      <alignment vertical="center" wrapText="1" shrinkToFit="1"/>
    </xf>
    <xf numFmtId="0" fontId="28" fillId="0" borderId="0" xfId="0" applyFont="1" applyAlignment="1" applyProtection="1">
      <alignment vertical="center"/>
    </xf>
    <xf numFmtId="0" fontId="8" fillId="0" borderId="32" xfId="0" applyFont="1" applyBorder="1" applyAlignment="1" applyProtection="1">
      <alignment horizontal="left" vertical="center" shrinkToFit="1"/>
    </xf>
    <xf numFmtId="0" fontId="28" fillId="0" borderId="33" xfId="0" applyFont="1" applyBorder="1" applyAlignment="1" applyProtection="1">
      <alignment horizontal="left" vertical="center" shrinkToFit="1"/>
    </xf>
    <xf numFmtId="0" fontId="28" fillId="0" borderId="33" xfId="0" applyFont="1" applyBorder="1" applyAlignment="1" applyProtection="1">
      <alignment vertical="center"/>
    </xf>
    <xf numFmtId="0" fontId="28" fillId="0" borderId="68" xfId="0" applyFont="1" applyBorder="1" applyAlignment="1" applyProtection="1">
      <alignment vertical="center"/>
    </xf>
    <xf numFmtId="0" fontId="8" fillId="0" borderId="7" xfId="0" applyFont="1" applyBorder="1" applyAlignment="1" applyProtection="1">
      <alignment horizontal="left" vertical="center" shrinkToFit="1"/>
    </xf>
    <xf numFmtId="0" fontId="28" fillId="0" borderId="8" xfId="0" applyFont="1" applyBorder="1" applyAlignment="1" applyProtection="1">
      <alignment horizontal="left" vertical="center" shrinkToFit="1"/>
    </xf>
    <xf numFmtId="0" fontId="28" fillId="0" borderId="8" xfId="0" applyFont="1" applyBorder="1" applyAlignment="1" applyProtection="1">
      <alignment vertical="center"/>
    </xf>
    <xf numFmtId="0" fontId="28" fillId="0" borderId="70" xfId="0" applyFont="1" applyBorder="1" applyAlignment="1" applyProtection="1">
      <alignment vertical="center"/>
    </xf>
    <xf numFmtId="0" fontId="28" fillId="0" borderId="7" xfId="0" applyFont="1" applyBorder="1" applyAlignment="1" applyProtection="1">
      <alignment horizontal="left" vertical="center" shrinkToFit="1"/>
    </xf>
    <xf numFmtId="0" fontId="28" fillId="0" borderId="8" xfId="0" applyFont="1" applyBorder="1" applyAlignment="1" applyProtection="1">
      <alignment vertical="center" shrinkToFit="1"/>
    </xf>
    <xf numFmtId="0" fontId="28" fillId="0" borderId="44" xfId="0" applyFont="1" applyBorder="1" applyAlignment="1" applyProtection="1">
      <alignment vertical="center" shrinkToFit="1"/>
    </xf>
    <xf numFmtId="0" fontId="2" fillId="6" borderId="43" xfId="1" applyNumberFormat="1" applyFill="1" applyBorder="1" applyAlignment="1" applyProtection="1">
      <alignment horizontal="left" vertical="center"/>
      <protection locked="0"/>
    </xf>
    <xf numFmtId="0" fontId="8" fillId="6" borderId="44" xfId="0" applyFont="1" applyFill="1" applyBorder="1" applyAlignment="1" applyProtection="1">
      <alignment horizontal="left" vertical="center"/>
      <protection locked="0"/>
    </xf>
    <xf numFmtId="0" fontId="8" fillId="6" borderId="45" xfId="0" applyFont="1" applyFill="1" applyBorder="1" applyAlignment="1" applyProtection="1">
      <alignment horizontal="left" vertical="center"/>
      <protection locked="0"/>
    </xf>
    <xf numFmtId="0" fontId="8" fillId="0" borderId="15" xfId="0" applyFont="1" applyBorder="1" applyAlignment="1" applyProtection="1">
      <alignment horizontal="center" vertical="center"/>
    </xf>
    <xf numFmtId="0" fontId="28" fillId="0" borderId="16" xfId="0" applyFont="1" applyBorder="1" applyAlignment="1" applyProtection="1">
      <alignment horizontal="center" vertical="center"/>
    </xf>
    <xf numFmtId="0" fontId="28" fillId="0" borderId="17" xfId="0" applyFont="1" applyBorder="1" applyAlignment="1" applyProtection="1">
      <alignment horizontal="center" vertical="center"/>
    </xf>
    <xf numFmtId="0" fontId="8" fillId="5" borderId="86" xfId="0" applyFont="1" applyFill="1" applyBorder="1" applyAlignment="1" applyProtection="1">
      <alignment horizontal="center" vertical="center"/>
    </xf>
    <xf numFmtId="0" fontId="28" fillId="5" borderId="56" xfId="0" applyFont="1" applyFill="1" applyBorder="1" applyAlignment="1" applyProtection="1">
      <alignment horizontal="center" vertical="center"/>
    </xf>
    <xf numFmtId="0" fontId="28" fillId="5" borderId="87"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28" fillId="5" borderId="0" xfId="0" applyFont="1" applyFill="1" applyBorder="1" applyAlignment="1" applyProtection="1">
      <alignment horizontal="center" vertical="center"/>
    </xf>
    <xf numFmtId="0" fontId="28" fillId="5" borderId="9" xfId="0"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0" fontId="28" fillId="5" borderId="5" xfId="0" applyFont="1" applyFill="1" applyBorder="1" applyAlignment="1" applyProtection="1">
      <alignment horizontal="center" vertical="center"/>
    </xf>
    <xf numFmtId="0" fontId="28" fillId="5" borderId="10" xfId="0" applyFont="1" applyFill="1" applyBorder="1" applyAlignment="1" applyProtection="1">
      <alignment horizontal="center" vertical="center"/>
    </xf>
    <xf numFmtId="0" fontId="8" fillId="7" borderId="43" xfId="0" applyFont="1" applyFill="1" applyBorder="1" applyAlignment="1" applyProtection="1">
      <alignment horizontal="center" vertical="center"/>
    </xf>
    <xf numFmtId="0" fontId="28" fillId="7" borderId="44" xfId="0" applyFont="1" applyFill="1" applyBorder="1" applyAlignment="1" applyProtection="1">
      <alignment horizontal="center" vertical="center"/>
    </xf>
    <xf numFmtId="0" fontId="28" fillId="7" borderId="45" xfId="0" applyFont="1" applyFill="1" applyBorder="1" applyAlignment="1" applyProtection="1">
      <alignment horizontal="center" vertical="center"/>
    </xf>
    <xf numFmtId="183" fontId="8" fillId="6" borderId="43" xfId="0" applyNumberFormat="1" applyFont="1" applyFill="1" applyBorder="1" applyAlignment="1" applyProtection="1">
      <alignment horizontal="left" vertical="center"/>
      <protection locked="0"/>
    </xf>
    <xf numFmtId="183" fontId="28" fillId="6" borderId="44" xfId="0" applyNumberFormat="1" applyFont="1" applyFill="1" applyBorder="1" applyAlignment="1" applyProtection="1">
      <alignment horizontal="left" vertical="center"/>
      <protection locked="0"/>
    </xf>
    <xf numFmtId="183" fontId="28" fillId="6" borderId="45" xfId="0" applyNumberFormat="1" applyFont="1" applyFill="1" applyBorder="1" applyAlignment="1" applyProtection="1">
      <alignment horizontal="left" vertical="center"/>
      <protection locked="0"/>
    </xf>
    <xf numFmtId="0" fontId="8" fillId="0" borderId="16"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8" xfId="0" applyFont="1" applyBorder="1" applyAlignment="1" applyProtection="1">
      <alignment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7" xfId="0" applyFont="1" applyBorder="1" applyAlignment="1" applyProtection="1">
      <alignment horizontal="left" vertical="center" wrapText="1"/>
    </xf>
    <xf numFmtId="0" fontId="28" fillId="0" borderId="8"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1" xfId="0" applyFont="1" applyBorder="1" applyAlignment="1" applyProtection="1">
      <alignment vertical="center" wrapText="1" shrinkToFit="1"/>
    </xf>
    <xf numFmtId="0" fontId="0" fillId="0" borderId="6" xfId="0" applyBorder="1" applyAlignment="1" applyProtection="1">
      <alignment vertical="center" shrinkToFit="1"/>
    </xf>
    <xf numFmtId="0" fontId="8" fillId="0" borderId="7" xfId="0" applyFont="1" applyBorder="1" applyAlignment="1" applyProtection="1">
      <alignment vertical="center" wrapText="1" shrinkToFit="1"/>
    </xf>
    <xf numFmtId="0" fontId="0" fillId="0" borderId="8" xfId="0" applyBorder="1" applyAlignment="1" applyProtection="1">
      <alignment vertical="center" wrapText="1" shrinkToFit="1"/>
    </xf>
    <xf numFmtId="0" fontId="0" fillId="0" borderId="6" xfId="0" applyBorder="1" applyAlignment="1" applyProtection="1">
      <alignment vertical="center" wrapText="1" shrinkToFit="1"/>
    </xf>
    <xf numFmtId="0" fontId="0" fillId="0" borderId="8" xfId="0" applyBorder="1" applyAlignment="1" applyProtection="1">
      <alignment vertical="center"/>
    </xf>
    <xf numFmtId="0" fontId="0" fillId="0" borderId="6" xfId="0" applyBorder="1" applyAlignment="1" applyProtection="1">
      <alignment vertical="center"/>
    </xf>
    <xf numFmtId="0" fontId="30" fillId="0" borderId="7" xfId="0" applyFont="1" applyBorder="1" applyAlignment="1" applyProtection="1">
      <alignment horizontal="center" vertical="center"/>
    </xf>
    <xf numFmtId="0" fontId="30" fillId="0" borderId="8" xfId="0" applyFont="1" applyBorder="1" applyAlignment="1" applyProtection="1">
      <alignment horizontal="center" vertical="center"/>
    </xf>
    <xf numFmtId="0" fontId="30" fillId="0" borderId="6" xfId="0" applyFont="1" applyBorder="1" applyAlignment="1" applyProtection="1">
      <alignment horizontal="center" vertical="center"/>
    </xf>
    <xf numFmtId="0" fontId="31" fillId="0" borderId="6" xfId="0" applyFont="1" applyBorder="1" applyAlignment="1" applyProtection="1">
      <alignment horizontal="center" vertical="center"/>
    </xf>
    <xf numFmtId="0" fontId="8" fillId="5" borderId="85" xfId="0" applyFont="1" applyFill="1" applyBorder="1" applyAlignment="1" applyProtection="1">
      <alignment vertical="center" textRotation="255"/>
    </xf>
    <xf numFmtId="0" fontId="8" fillId="5" borderId="88" xfId="0" applyFont="1" applyFill="1" applyBorder="1" applyAlignment="1" applyProtection="1">
      <alignment vertical="center" textRotation="255"/>
    </xf>
    <xf numFmtId="0" fontId="8" fillId="5" borderId="89" xfId="0" applyFont="1" applyFill="1" applyBorder="1" applyAlignment="1" applyProtection="1">
      <alignment vertical="center" textRotation="255"/>
    </xf>
    <xf numFmtId="0" fontId="8" fillId="7" borderId="85" xfId="0" applyFont="1" applyFill="1" applyBorder="1" applyAlignment="1" applyProtection="1">
      <alignment vertical="center" textRotation="255"/>
    </xf>
    <xf numFmtId="0" fontId="8" fillId="7" borderId="88" xfId="0" applyFont="1" applyFill="1" applyBorder="1" applyAlignment="1" applyProtection="1">
      <alignment vertical="center" textRotation="255"/>
    </xf>
    <xf numFmtId="0" fontId="8" fillId="7" borderId="89" xfId="0" applyFont="1" applyFill="1" applyBorder="1" applyAlignment="1" applyProtection="1">
      <alignment vertical="center" textRotation="255"/>
    </xf>
    <xf numFmtId="0" fontId="8" fillId="0" borderId="6" xfId="0" applyFont="1" applyBorder="1" applyAlignment="1" applyProtection="1">
      <alignment horizontal="center" vertical="center"/>
    </xf>
    <xf numFmtId="0" fontId="8" fillId="0" borderId="15" xfId="0" applyFont="1" applyFill="1" applyBorder="1" applyAlignment="1" applyProtection="1">
      <alignment horizontal="center" vertical="center"/>
    </xf>
    <xf numFmtId="0" fontId="28" fillId="0" borderId="16" xfId="0" applyFont="1" applyBorder="1" applyAlignment="1" applyProtection="1">
      <alignment vertical="center"/>
    </xf>
    <xf numFmtId="0" fontId="28" fillId="0" borderId="17" xfId="0" applyFont="1" applyBorder="1" applyAlignment="1" applyProtection="1">
      <alignment vertical="center"/>
    </xf>
    <xf numFmtId="0" fontId="8" fillId="6" borderId="18" xfId="0" applyFont="1" applyFill="1" applyBorder="1" applyAlignment="1" applyProtection="1">
      <alignment horizontal="left" vertical="center"/>
    </xf>
    <xf numFmtId="0" fontId="28" fillId="6" borderId="5" xfId="0" applyFont="1" applyFill="1" applyBorder="1" applyAlignment="1" applyProtection="1">
      <alignment horizontal="left" vertical="center"/>
    </xf>
    <xf numFmtId="0" fontId="28" fillId="6" borderId="10" xfId="0" applyFont="1" applyFill="1" applyBorder="1" applyAlignment="1" applyProtection="1">
      <alignment horizontal="left" vertical="center"/>
    </xf>
    <xf numFmtId="0" fontId="8" fillId="6" borderId="11" xfId="0" applyFont="1" applyFill="1" applyBorder="1" applyAlignment="1" applyProtection="1">
      <alignment horizontal="left" vertical="center"/>
    </xf>
    <xf numFmtId="0" fontId="28" fillId="6" borderId="0" xfId="0" applyFont="1" applyFill="1" applyBorder="1" applyAlignment="1" applyProtection="1">
      <alignment horizontal="left" vertical="center"/>
    </xf>
    <xf numFmtId="0" fontId="28" fillId="6" borderId="9" xfId="0" applyFont="1" applyFill="1" applyBorder="1" applyAlignment="1" applyProtection="1">
      <alignment horizontal="left" vertical="center"/>
    </xf>
    <xf numFmtId="0" fontId="8" fillId="0" borderId="13"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28" fillId="0" borderId="70" xfId="0" applyFont="1" applyBorder="1" applyAlignment="1" applyProtection="1">
      <alignment horizontal="left" vertical="center" shrinkToFit="1"/>
    </xf>
    <xf numFmtId="0" fontId="30" fillId="0" borderId="7" xfId="0" applyFont="1" applyBorder="1" applyAlignment="1" applyProtection="1">
      <alignment horizontal="left" vertical="center" wrapText="1" shrinkToFit="1"/>
    </xf>
    <xf numFmtId="0" fontId="28" fillId="0" borderId="8" xfId="0" applyFont="1" applyBorder="1" applyAlignment="1" applyProtection="1">
      <alignment horizontal="left" vertical="center" wrapText="1" shrinkToFit="1"/>
    </xf>
    <xf numFmtId="0" fontId="28" fillId="0" borderId="70" xfId="0" applyFont="1" applyBorder="1" applyAlignment="1" applyProtection="1">
      <alignment horizontal="left" vertical="center" wrapText="1" shrinkToFit="1"/>
    </xf>
    <xf numFmtId="0" fontId="8" fillId="7" borderId="32" xfId="0" applyFont="1" applyFill="1" applyBorder="1" applyAlignment="1" applyProtection="1">
      <alignment horizontal="center" vertical="center"/>
    </xf>
    <xf numFmtId="0" fontId="43" fillId="7" borderId="33" xfId="0" applyFont="1" applyFill="1" applyBorder="1" applyAlignment="1" applyProtection="1">
      <alignment horizontal="center" vertical="center"/>
    </xf>
    <xf numFmtId="0" fontId="43" fillId="7" borderId="34" xfId="0" applyFont="1" applyFill="1" applyBorder="1" applyAlignment="1" applyProtection="1">
      <alignment horizontal="center" vertical="center"/>
    </xf>
    <xf numFmtId="0" fontId="9" fillId="0" borderId="0" xfId="0" applyFont="1" applyAlignment="1" applyProtection="1">
      <alignment horizontal="center" vertical="center"/>
    </xf>
    <xf numFmtId="0" fontId="0" fillId="0" borderId="0" xfId="0" applyAlignment="1" applyProtection="1">
      <alignment horizontal="center" vertical="center"/>
    </xf>
    <xf numFmtId="0" fontId="9" fillId="0" borderId="7" xfId="0" applyFont="1" applyBorder="1" applyAlignment="1" applyProtection="1">
      <alignment horizontal="center" vertical="center"/>
    </xf>
    <xf numFmtId="0" fontId="0" fillId="0" borderId="8" xfId="0" applyBorder="1" applyAlignment="1" applyProtection="1">
      <alignment horizontal="center" vertical="center"/>
    </xf>
    <xf numFmtId="0" fontId="0" fillId="0" borderId="6" xfId="0" applyBorder="1" applyAlignment="1" applyProtection="1">
      <alignment horizontal="center" vertical="center"/>
    </xf>
    <xf numFmtId="0" fontId="9" fillId="5" borderId="0" xfId="0" applyFont="1" applyFill="1" applyAlignment="1" applyProtection="1">
      <alignment vertical="center"/>
    </xf>
    <xf numFmtId="0" fontId="0" fillId="5" borderId="0" xfId="0" applyFill="1" applyAlignment="1" applyProtection="1">
      <alignment vertical="center"/>
    </xf>
    <xf numFmtId="0" fontId="9"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9" fillId="6" borderId="1" xfId="0" applyFont="1"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9" fillId="6" borderId="15" xfId="0" applyFont="1" applyFill="1" applyBorder="1" applyAlignment="1" applyProtection="1">
      <alignment vertical="center"/>
      <protection locked="0"/>
    </xf>
    <xf numFmtId="0" fontId="0" fillId="6" borderId="16" xfId="0" applyFill="1" applyBorder="1" applyAlignment="1" applyProtection="1">
      <alignment vertical="center"/>
      <protection locked="0"/>
    </xf>
    <xf numFmtId="0" fontId="0" fillId="6" borderId="17" xfId="0"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0" fillId="6" borderId="0" xfId="0" applyFill="1" applyBorder="1" applyAlignment="1" applyProtection="1">
      <alignment vertical="center"/>
      <protection locked="0"/>
    </xf>
    <xf numFmtId="0" fontId="0" fillId="6" borderId="9" xfId="0" applyFill="1" applyBorder="1" applyAlignment="1" applyProtection="1">
      <alignment vertical="center"/>
      <protection locked="0"/>
    </xf>
    <xf numFmtId="0" fontId="0" fillId="6" borderId="18" xfId="0" applyFill="1" applyBorder="1" applyAlignment="1" applyProtection="1">
      <alignment vertical="center"/>
      <protection locked="0"/>
    </xf>
    <xf numFmtId="0" fontId="0" fillId="6" borderId="5" xfId="0" applyFill="1" applyBorder="1" applyAlignment="1" applyProtection="1">
      <alignment vertical="center"/>
      <protection locked="0"/>
    </xf>
    <xf numFmtId="0" fontId="0" fillId="6" borderId="10" xfId="0" applyFill="1" applyBorder="1" applyAlignment="1" applyProtection="1">
      <alignment vertical="center"/>
      <protection locked="0"/>
    </xf>
    <xf numFmtId="0" fontId="9" fillId="6" borderId="15" xfId="0" applyFont="1" applyFill="1" applyBorder="1" applyAlignment="1" applyProtection="1">
      <alignment vertical="center" wrapText="1"/>
      <protection locked="0"/>
    </xf>
    <xf numFmtId="196" fontId="9" fillId="0" borderId="1" xfId="0" applyNumberFormat="1" applyFont="1" applyBorder="1" applyAlignment="1" applyProtection="1">
      <alignment vertical="center" shrinkToFit="1"/>
    </xf>
    <xf numFmtId="196" fontId="0" fillId="0" borderId="1" xfId="0" applyNumberFormat="1" applyBorder="1" applyAlignment="1" applyProtection="1">
      <alignment vertical="center" shrinkToFit="1"/>
    </xf>
    <xf numFmtId="196" fontId="9" fillId="6" borderId="1" xfId="0" applyNumberFormat="1" applyFont="1" applyFill="1" applyBorder="1" applyAlignment="1" applyProtection="1">
      <alignment vertical="center" shrinkToFit="1"/>
      <protection locked="0"/>
    </xf>
    <xf numFmtId="196" fontId="0" fillId="6" borderId="1" xfId="0" applyNumberFormat="1" applyFill="1" applyBorder="1" applyAlignment="1" applyProtection="1">
      <alignment vertical="center" shrinkToFit="1"/>
      <protection locked="0"/>
    </xf>
    <xf numFmtId="0" fontId="9" fillId="0" borderId="0" xfId="0" applyFont="1" applyAlignment="1" applyProtection="1">
      <alignment vertical="center"/>
    </xf>
    <xf numFmtId="0" fontId="0" fillId="0" borderId="0" xfId="0" applyAlignment="1" applyProtection="1">
      <alignment vertical="center"/>
    </xf>
    <xf numFmtId="0" fontId="9" fillId="0" borderId="5" xfId="0" applyFont="1" applyBorder="1"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vertical="center"/>
    </xf>
    <xf numFmtId="0" fontId="9" fillId="6" borderId="1" xfId="0" applyFont="1" applyFill="1" applyBorder="1" applyAlignment="1" applyProtection="1">
      <alignment vertical="center"/>
      <protection locked="0"/>
    </xf>
    <xf numFmtId="0" fontId="0" fillId="6" borderId="1" xfId="0" applyFill="1" applyBorder="1" applyAlignment="1" applyProtection="1">
      <alignment vertical="center"/>
      <protection locked="0"/>
    </xf>
    <xf numFmtId="195" fontId="9" fillId="6" borderId="1" xfId="0" applyNumberFormat="1" applyFont="1" applyFill="1" applyBorder="1" applyAlignment="1" applyProtection="1">
      <alignment vertical="center" shrinkToFit="1"/>
      <protection locked="0"/>
    </xf>
    <xf numFmtId="195" fontId="0" fillId="6" borderId="1" xfId="0" applyNumberFormat="1" applyFill="1" applyBorder="1" applyAlignment="1" applyProtection="1">
      <alignment vertical="center" shrinkToFit="1"/>
      <protection locked="0"/>
    </xf>
    <xf numFmtId="0" fontId="35" fillId="0" borderId="1" xfId="0" applyFont="1" applyBorder="1" applyAlignment="1" applyProtection="1">
      <alignment horizontal="center" vertical="center"/>
    </xf>
    <xf numFmtId="195" fontId="9" fillId="0" borderId="1" xfId="0" applyNumberFormat="1" applyFont="1" applyBorder="1" applyAlignment="1" applyProtection="1">
      <alignment horizontal="right" vertical="center" shrinkToFit="1"/>
    </xf>
    <xf numFmtId="195" fontId="35" fillId="0" borderId="1" xfId="0" applyNumberFormat="1" applyFont="1" applyBorder="1" applyAlignment="1" applyProtection="1">
      <alignment horizontal="right" vertical="center" shrinkToFit="1"/>
    </xf>
    <xf numFmtId="0" fontId="0" fillId="0" borderId="1" xfId="0" applyBorder="1" applyAlignment="1" applyProtection="1">
      <alignment vertical="center" shrinkToFit="1"/>
    </xf>
    <xf numFmtId="0" fontId="19" fillId="0" borderId="0" xfId="0" applyFont="1" applyAlignment="1" applyProtection="1">
      <alignment horizontal="center" vertical="center"/>
    </xf>
    <xf numFmtId="0" fontId="9" fillId="6" borderId="2" xfId="0" applyFont="1" applyFill="1" applyBorder="1" applyAlignment="1" applyProtection="1">
      <alignment horizontal="center" vertical="center" shrinkToFit="1"/>
      <protection locked="0"/>
    </xf>
    <xf numFmtId="0" fontId="35" fillId="0" borderId="4" xfId="0" applyFont="1" applyBorder="1" applyAlignment="1" applyProtection="1">
      <alignment horizontal="center" vertical="center" shrinkToFit="1"/>
      <protection locked="0"/>
    </xf>
    <xf numFmtId="0" fontId="9" fillId="6" borderId="15" xfId="0" applyFont="1" applyFill="1" applyBorder="1" applyAlignment="1" applyProtection="1">
      <alignment horizontal="center" vertical="center" shrinkToFit="1"/>
      <protection locked="0"/>
    </xf>
    <xf numFmtId="0" fontId="35" fillId="6" borderId="16" xfId="0" applyFont="1" applyFill="1" applyBorder="1" applyAlignment="1" applyProtection="1">
      <alignment horizontal="center" vertical="center" shrinkToFit="1"/>
      <protection locked="0"/>
    </xf>
    <xf numFmtId="0" fontId="35" fillId="6" borderId="17" xfId="0" applyFont="1" applyFill="1" applyBorder="1" applyAlignment="1" applyProtection="1">
      <alignment horizontal="center" vertical="center" shrinkToFit="1"/>
      <protection locked="0"/>
    </xf>
    <xf numFmtId="0" fontId="35" fillId="0" borderId="18" xfId="0" applyFont="1" applyBorder="1" applyAlignment="1" applyProtection="1">
      <alignment horizontal="center" vertical="center" shrinkToFit="1"/>
      <protection locked="0"/>
    </xf>
    <xf numFmtId="0" fontId="35" fillId="0" borderId="5" xfId="0" applyFont="1" applyBorder="1" applyAlignment="1" applyProtection="1">
      <alignment horizontal="center" vertical="center" shrinkToFit="1"/>
      <protection locked="0"/>
    </xf>
    <xf numFmtId="0" fontId="35" fillId="0" borderId="10" xfId="0" applyFont="1" applyBorder="1" applyAlignment="1" applyProtection="1">
      <alignment horizontal="center" vertical="center" shrinkToFit="1"/>
      <protection locked="0"/>
    </xf>
    <xf numFmtId="192" fontId="9" fillId="6" borderId="15" xfId="0" applyNumberFormat="1" applyFont="1" applyFill="1" applyBorder="1" applyAlignment="1" applyProtection="1">
      <alignment vertical="center"/>
      <protection locked="0"/>
    </xf>
    <xf numFmtId="192" fontId="35" fillId="6" borderId="16" xfId="0" applyNumberFormat="1" applyFont="1" applyFill="1" applyBorder="1" applyAlignment="1" applyProtection="1">
      <alignment vertical="center"/>
      <protection locked="0"/>
    </xf>
    <xf numFmtId="192" fontId="35" fillId="6" borderId="17" xfId="0" applyNumberFormat="1" applyFont="1" applyFill="1" applyBorder="1" applyAlignment="1" applyProtection="1">
      <alignment vertical="center"/>
      <protection locked="0"/>
    </xf>
    <xf numFmtId="192" fontId="35" fillId="6" borderId="18" xfId="0" applyNumberFormat="1" applyFont="1" applyFill="1" applyBorder="1" applyAlignment="1" applyProtection="1">
      <alignment vertical="center"/>
      <protection locked="0"/>
    </xf>
    <xf numFmtId="192" fontId="35" fillId="6" borderId="5" xfId="0" applyNumberFormat="1" applyFont="1" applyFill="1" applyBorder="1" applyAlignment="1" applyProtection="1">
      <alignment vertical="center"/>
      <protection locked="0"/>
    </xf>
    <xf numFmtId="192" fontId="35" fillId="6" borderId="10" xfId="0" applyNumberFormat="1" applyFont="1" applyFill="1" applyBorder="1" applyAlignment="1" applyProtection="1">
      <alignment vertical="center"/>
      <protection locked="0"/>
    </xf>
    <xf numFmtId="0" fontId="35" fillId="6" borderId="16" xfId="0" applyFont="1" applyFill="1" applyBorder="1" applyAlignment="1" applyProtection="1">
      <alignment vertical="center" wrapText="1"/>
      <protection locked="0"/>
    </xf>
    <xf numFmtId="0" fontId="35" fillId="6" borderId="17" xfId="0" applyFont="1" applyFill="1" applyBorder="1" applyAlignment="1" applyProtection="1">
      <alignment vertical="center" wrapText="1"/>
      <protection locked="0"/>
    </xf>
    <xf numFmtId="0" fontId="35" fillId="6" borderId="11" xfId="0" applyFont="1" applyFill="1" applyBorder="1" applyAlignment="1" applyProtection="1">
      <alignment vertical="center" wrapText="1"/>
      <protection locked="0"/>
    </xf>
    <xf numFmtId="0" fontId="35" fillId="6" borderId="0" xfId="0" applyFont="1" applyFill="1" applyBorder="1" applyAlignment="1" applyProtection="1">
      <alignment vertical="center" wrapText="1"/>
      <protection locked="0"/>
    </xf>
    <xf numFmtId="0" fontId="35" fillId="6" borderId="9" xfId="0" applyFont="1" applyFill="1" applyBorder="1" applyAlignment="1" applyProtection="1">
      <alignment vertical="center" wrapText="1"/>
      <protection locked="0"/>
    </xf>
    <xf numFmtId="0" fontId="35" fillId="6" borderId="18" xfId="0" applyFont="1" applyFill="1" applyBorder="1" applyAlignment="1" applyProtection="1">
      <alignment vertical="center" wrapText="1"/>
      <protection locked="0"/>
    </xf>
    <xf numFmtId="0" fontId="35" fillId="6" borderId="5" xfId="0" applyFont="1" applyFill="1" applyBorder="1" applyAlignment="1" applyProtection="1">
      <alignment vertical="center" wrapText="1"/>
      <protection locked="0"/>
    </xf>
    <xf numFmtId="0" fontId="35" fillId="6" borderId="10" xfId="0" applyFont="1" applyFill="1" applyBorder="1" applyAlignment="1" applyProtection="1">
      <alignment vertical="center" wrapText="1"/>
      <protection locked="0"/>
    </xf>
    <xf numFmtId="0" fontId="35" fillId="6" borderId="16" xfId="0" applyFont="1" applyFill="1"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35" fillId="6" borderId="18" xfId="0" applyFont="1" applyFill="1" applyBorder="1" applyAlignment="1" applyProtection="1">
      <alignment vertical="center"/>
      <protection locked="0"/>
    </xf>
    <xf numFmtId="0" fontId="35" fillId="6" borderId="5" xfId="0" applyFont="1" applyFill="1" applyBorder="1" applyAlignment="1" applyProtection="1">
      <alignment vertical="center"/>
      <protection locked="0"/>
    </xf>
    <xf numFmtId="0" fontId="0" fillId="0" borderId="5" xfId="0" applyBorder="1" applyAlignment="1" applyProtection="1">
      <alignment vertical="center"/>
      <protection locked="0"/>
    </xf>
    <xf numFmtId="0" fontId="0" fillId="0" borderId="10" xfId="0" applyBorder="1" applyAlignment="1" applyProtection="1">
      <alignment vertical="center"/>
      <protection locked="0"/>
    </xf>
    <xf numFmtId="195" fontId="9" fillId="6" borderId="1" xfId="0" applyNumberFormat="1" applyFont="1" applyFill="1" applyBorder="1" applyAlignment="1" applyProtection="1">
      <alignment horizontal="right" vertical="center" shrinkToFit="1"/>
      <protection locked="0"/>
    </xf>
    <xf numFmtId="195" fontId="35" fillId="6" borderId="1" xfId="0" applyNumberFormat="1" applyFont="1" applyFill="1" applyBorder="1" applyAlignment="1" applyProtection="1">
      <alignment horizontal="right" vertical="center" shrinkToFit="1"/>
      <protection locked="0"/>
    </xf>
    <xf numFmtId="0" fontId="0" fillId="0" borderId="1" xfId="0" applyBorder="1" applyAlignment="1" applyProtection="1">
      <alignment vertical="center" shrinkToFit="1"/>
      <protection locked="0"/>
    </xf>
    <xf numFmtId="0" fontId="7" fillId="0" borderId="0" xfId="0" applyFont="1" applyBorder="1" applyAlignment="1" applyProtection="1">
      <alignment horizontal="right" vertical="center" shrinkToFit="1"/>
    </xf>
    <xf numFmtId="0" fontId="0" fillId="0" borderId="0" xfId="0" applyAlignment="1">
      <alignment horizontal="right" vertical="center" shrinkToFit="1"/>
    </xf>
    <xf numFmtId="0" fontId="21" fillId="0" borderId="6" xfId="0" applyFont="1" applyBorder="1" applyAlignment="1" applyProtection="1">
      <alignment horizontal="center" vertical="center" shrinkToFit="1"/>
    </xf>
    <xf numFmtId="0" fontId="16" fillId="0" borderId="1" xfId="0" applyFont="1" applyBorder="1" applyAlignment="1" applyProtection="1">
      <alignment vertical="center" shrinkToFit="1"/>
    </xf>
    <xf numFmtId="0" fontId="21" fillId="0" borderId="8"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1" xfId="0" applyFont="1" applyBorder="1" applyAlignment="1" applyProtection="1">
      <alignment horizontal="center" vertical="center" shrinkToFit="1"/>
    </xf>
    <xf numFmtId="0" fontId="16" fillId="0" borderId="1" xfId="0" applyFont="1" applyFill="1" applyBorder="1" applyAlignment="1" applyProtection="1">
      <alignment horizontal="center" vertical="center" shrinkToFit="1"/>
    </xf>
    <xf numFmtId="0" fontId="16" fillId="0" borderId="1" xfId="0" applyFont="1" applyFill="1" applyBorder="1" applyAlignment="1" applyProtection="1">
      <alignment vertical="center" shrinkToFit="1"/>
    </xf>
    <xf numFmtId="0" fontId="17" fillId="0" borderId="0" xfId="0" applyFont="1" applyAlignment="1" applyProtection="1">
      <alignment horizontal="center" vertical="center" wrapText="1"/>
    </xf>
    <xf numFmtId="0" fontId="17" fillId="0" borderId="0" xfId="0" applyFont="1" applyAlignment="1" applyProtection="1">
      <alignment horizontal="center" vertical="center"/>
    </xf>
    <xf numFmtId="0" fontId="16" fillId="0" borderId="1" xfId="0" applyFont="1" applyFill="1" applyBorder="1" applyAlignment="1" applyProtection="1">
      <alignment horizontal="left" vertical="center" wrapText="1" shrinkToFit="1"/>
    </xf>
    <xf numFmtId="0" fontId="16" fillId="0" borderId="7" xfId="0" applyFont="1" applyBorder="1" applyAlignment="1" applyProtection="1">
      <alignment vertical="center" shrinkToFit="1"/>
    </xf>
    <xf numFmtId="0" fontId="7" fillId="0" borderId="8" xfId="0" applyFont="1" applyBorder="1" applyAlignment="1" applyProtection="1">
      <alignment vertical="center"/>
    </xf>
    <xf numFmtId="0" fontId="16" fillId="0" borderId="15" xfId="0" applyFont="1" applyFill="1" applyBorder="1" applyAlignment="1" applyProtection="1">
      <alignment horizontal="left" vertical="center" shrinkToFit="1"/>
    </xf>
    <xf numFmtId="0" fontId="16" fillId="0" borderId="16" xfId="0" applyFont="1" applyFill="1" applyBorder="1" applyAlignment="1" applyProtection="1">
      <alignment horizontal="left" vertical="center" shrinkToFit="1"/>
    </xf>
    <xf numFmtId="0" fontId="7" fillId="0" borderId="16" xfId="0" applyFont="1" applyBorder="1" applyAlignment="1" applyProtection="1">
      <alignment horizontal="left" vertical="center" shrinkToFit="1"/>
    </xf>
    <xf numFmtId="0" fontId="7" fillId="0" borderId="17" xfId="0" applyFont="1" applyBorder="1" applyAlignment="1" applyProtection="1">
      <alignment horizontal="left" vertical="center" shrinkToFit="1"/>
    </xf>
    <xf numFmtId="0" fontId="16" fillId="0" borderId="18" xfId="0" applyFont="1" applyFill="1" applyBorder="1" applyAlignment="1" applyProtection="1">
      <alignment horizontal="left" vertical="center" shrinkToFit="1"/>
    </xf>
    <xf numFmtId="0" fontId="16" fillId="0" borderId="5" xfId="0" applyFont="1" applyFill="1" applyBorder="1" applyAlignment="1" applyProtection="1">
      <alignment horizontal="left" vertical="center" shrinkToFit="1"/>
    </xf>
    <xf numFmtId="0" fontId="7" fillId="0" borderId="5" xfId="0" applyFont="1" applyBorder="1" applyAlignment="1" applyProtection="1">
      <alignment horizontal="left" vertical="center" shrinkToFit="1"/>
    </xf>
    <xf numFmtId="0" fontId="7" fillId="0" borderId="10" xfId="0" applyFont="1" applyBorder="1" applyAlignment="1" applyProtection="1">
      <alignment horizontal="left" vertical="center" shrinkToFit="1"/>
    </xf>
    <xf numFmtId="0" fontId="24" fillId="0" borderId="1" xfId="1" applyFont="1" applyFill="1" applyBorder="1" applyAlignment="1" applyProtection="1">
      <alignment vertical="center" shrinkToFit="1"/>
    </xf>
    <xf numFmtId="0" fontId="16" fillId="0" borderId="0" xfId="0" applyFont="1" applyAlignment="1" applyProtection="1">
      <alignment shrinkToFit="1"/>
    </xf>
    <xf numFmtId="0" fontId="7" fillId="0" borderId="0" xfId="0" applyFont="1" applyAlignment="1" applyProtection="1">
      <alignment shrinkToFit="1"/>
    </xf>
    <xf numFmtId="0" fontId="7" fillId="0" borderId="0" xfId="0" applyFont="1" applyAlignment="1" applyProtection="1"/>
    <xf numFmtId="0" fontId="16" fillId="0" borderId="1" xfId="0" applyFont="1" applyBorder="1" applyAlignment="1" applyProtection="1">
      <alignment horizontal="center" vertical="center" textRotation="255" shrinkToFit="1"/>
    </xf>
    <xf numFmtId="0" fontId="16" fillId="0" borderId="1" xfId="0" applyFont="1" applyBorder="1" applyAlignment="1" applyProtection="1">
      <alignment vertical="center"/>
    </xf>
    <xf numFmtId="0" fontId="21" fillId="0" borderId="7" xfId="0" applyFont="1" applyFill="1" applyBorder="1" applyAlignment="1" applyProtection="1">
      <alignment horizontal="left" vertical="center" shrinkToFit="1"/>
    </xf>
    <xf numFmtId="0" fontId="7" fillId="0" borderId="8" xfId="0" applyFont="1" applyFill="1" applyBorder="1" applyAlignment="1" applyProtection="1">
      <alignment horizontal="left" vertical="center" shrinkToFit="1"/>
    </xf>
    <xf numFmtId="0" fontId="7" fillId="0" borderId="6" xfId="0" applyFont="1" applyFill="1" applyBorder="1" applyAlignment="1" applyProtection="1">
      <alignment horizontal="left" vertical="center" shrinkToFit="1"/>
    </xf>
    <xf numFmtId="0" fontId="16" fillId="0" borderId="8" xfId="0" applyFont="1" applyBorder="1" applyAlignment="1" applyProtection="1">
      <alignment vertical="center"/>
    </xf>
    <xf numFmtId="0" fontId="21" fillId="0" borderId="8" xfId="0" applyFont="1" applyBorder="1" applyAlignment="1" applyProtection="1">
      <alignment horizontal="center" vertical="center" shrinkToFit="1"/>
    </xf>
    <xf numFmtId="0" fontId="16" fillId="0" borderId="8" xfId="0" applyFont="1" applyBorder="1" applyAlignment="1" applyProtection="1">
      <alignment horizontal="center" vertical="center" shrinkToFit="1"/>
    </xf>
    <xf numFmtId="0" fontId="16" fillId="0" borderId="6" xfId="0" applyFont="1" applyBorder="1" applyAlignment="1" applyProtection="1">
      <alignment horizontal="center" vertical="center" shrinkToFit="1"/>
    </xf>
    <xf numFmtId="0" fontId="16" fillId="0" borderId="8" xfId="0" applyFont="1" applyBorder="1" applyAlignment="1" applyProtection="1">
      <alignment vertical="center" shrinkToFit="1"/>
    </xf>
    <xf numFmtId="0" fontId="19" fillId="0" borderId="12" xfId="0" applyFont="1" applyBorder="1" applyAlignment="1" applyProtection="1">
      <alignment horizontal="center" vertical="center" wrapText="1"/>
    </xf>
    <xf numFmtId="0" fontId="19" fillId="0" borderId="22" xfId="0" applyFont="1" applyBorder="1" applyAlignment="1" applyProtection="1">
      <alignment horizontal="center" vertical="center"/>
    </xf>
    <xf numFmtId="0" fontId="19" fillId="0" borderId="23" xfId="0" applyFont="1" applyBorder="1" applyAlignment="1" applyProtection="1">
      <alignment horizontal="center" vertical="center"/>
    </xf>
    <xf numFmtId="0" fontId="19" fillId="0" borderId="24"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25" xfId="0" applyFont="1" applyBorder="1" applyAlignment="1" applyProtection="1">
      <alignment horizontal="center" vertical="center"/>
    </xf>
    <xf numFmtId="0" fontId="19" fillId="0" borderId="29" xfId="0" applyFont="1" applyBorder="1" applyAlignment="1" applyProtection="1">
      <alignment horizontal="center" vertical="center"/>
    </xf>
    <xf numFmtId="0" fontId="19" fillId="0" borderId="30" xfId="0" applyFont="1" applyBorder="1" applyAlignment="1" applyProtection="1">
      <alignment horizontal="center" vertical="center"/>
    </xf>
    <xf numFmtId="0" fontId="19" fillId="0" borderId="31" xfId="0" applyFont="1" applyBorder="1" applyAlignment="1" applyProtection="1">
      <alignment horizontal="center" vertical="center"/>
    </xf>
    <xf numFmtId="0" fontId="14" fillId="0" borderId="16" xfId="0" applyFont="1" applyBorder="1" applyAlignment="1" applyProtection="1">
      <alignment horizontal="left" vertical="center"/>
    </xf>
    <xf numFmtId="0" fontId="10" fillId="0" borderId="0" xfId="0" applyFont="1" applyBorder="1" applyAlignment="1" applyProtection="1">
      <alignment horizontal="left" vertical="center"/>
    </xf>
    <xf numFmtId="0" fontId="16" fillId="0" borderId="7" xfId="0" applyFont="1" applyFill="1" applyBorder="1" applyAlignment="1" applyProtection="1">
      <alignment vertical="center" shrinkToFit="1"/>
    </xf>
    <xf numFmtId="0" fontId="16" fillId="0" borderId="8" xfId="0" applyFont="1" applyFill="1" applyBorder="1" applyAlignment="1" applyProtection="1">
      <alignment vertical="center" shrinkToFit="1"/>
    </xf>
    <xf numFmtId="0" fontId="16" fillId="0" borderId="6" xfId="0" applyFont="1" applyFill="1" applyBorder="1" applyAlignment="1" applyProtection="1">
      <alignment vertical="center" shrinkToFit="1"/>
    </xf>
    <xf numFmtId="0" fontId="21" fillId="0" borderId="8" xfId="0" applyFont="1" applyBorder="1" applyAlignment="1" applyProtection="1">
      <alignment vertical="center" shrinkToFit="1"/>
    </xf>
    <xf numFmtId="0" fontId="16" fillId="0" borderId="7"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21" fillId="0" borderId="7" xfId="0" applyFont="1" applyFill="1" applyBorder="1" applyAlignment="1" applyProtection="1">
      <alignment vertical="center"/>
    </xf>
    <xf numFmtId="0" fontId="16" fillId="0" borderId="8" xfId="0" applyFont="1" applyFill="1" applyBorder="1" applyAlignment="1" applyProtection="1">
      <alignment vertical="center"/>
    </xf>
    <xf numFmtId="0" fontId="16" fillId="0" borderId="15" xfId="0" applyFont="1" applyFill="1" applyBorder="1" applyAlignment="1" applyProtection="1">
      <alignment vertical="center" shrinkToFit="1"/>
    </xf>
    <xf numFmtId="0" fontId="16" fillId="0" borderId="16" xfId="0" applyFont="1" applyFill="1" applyBorder="1" applyAlignment="1" applyProtection="1">
      <alignment vertical="center"/>
    </xf>
    <xf numFmtId="0" fontId="16" fillId="0" borderId="7" xfId="0" applyFont="1" applyFill="1" applyBorder="1" applyAlignment="1" applyProtection="1">
      <alignment horizontal="left" vertical="center" shrinkToFit="1"/>
    </xf>
    <xf numFmtId="0" fontId="16" fillId="0" borderId="8" xfId="0" applyFont="1" applyFill="1" applyBorder="1" applyAlignment="1" applyProtection="1">
      <alignment horizontal="left" vertical="center" shrinkToFit="1"/>
    </xf>
    <xf numFmtId="0" fontId="19" fillId="0" borderId="1" xfId="6" applyFont="1" applyBorder="1" applyAlignment="1">
      <alignment horizontal="left" vertical="center" wrapText="1"/>
    </xf>
    <xf numFmtId="0" fontId="40" fillId="0" borderId="1" xfId="6" applyFont="1" applyBorder="1" applyAlignment="1">
      <alignment horizontal="left" vertical="center"/>
    </xf>
    <xf numFmtId="0" fontId="19" fillId="0" borderId="1" xfId="6" applyFont="1" applyBorder="1" applyAlignment="1">
      <alignment horizontal="left" vertical="center"/>
    </xf>
    <xf numFmtId="0" fontId="49" fillId="0" borderId="0" xfId="6" applyFont="1" applyAlignment="1">
      <alignment horizontal="left" vertical="center"/>
    </xf>
    <xf numFmtId="0" fontId="37" fillId="0" borderId="0" xfId="6" applyAlignment="1">
      <alignment horizontal="left" vertical="center"/>
    </xf>
    <xf numFmtId="0" fontId="49" fillId="0" borderId="0" xfId="6" applyFont="1" applyAlignment="1">
      <alignment horizontal="distributed" vertical="center"/>
    </xf>
    <xf numFmtId="0" fontId="50" fillId="0" borderId="0" xfId="6" applyFont="1" applyAlignment="1">
      <alignment horizontal="distributed" vertical="center"/>
    </xf>
    <xf numFmtId="0" fontId="49" fillId="0" borderId="0" xfId="6" applyFont="1" applyAlignment="1">
      <alignment horizontal="center" vertical="center"/>
    </xf>
    <xf numFmtId="0" fontId="0" fillId="0" borderId="0" xfId="0" applyAlignment="1">
      <alignment horizontal="center" vertical="center"/>
    </xf>
    <xf numFmtId="0" fontId="49" fillId="0" borderId="0" xfId="6" applyFont="1" applyAlignment="1">
      <alignment horizontal="left" vertical="center" shrinkToFit="1"/>
    </xf>
    <xf numFmtId="0" fontId="50" fillId="0" borderId="0" xfId="6" applyFont="1" applyAlignment="1">
      <alignment horizontal="left" vertical="center" shrinkToFit="1"/>
    </xf>
    <xf numFmtId="0" fontId="49" fillId="0" borderId="0" xfId="6" applyFont="1" applyAlignment="1">
      <alignment horizontal="left" vertical="center" wrapText="1"/>
    </xf>
    <xf numFmtId="0" fontId="50" fillId="0" borderId="0" xfId="6" applyFont="1" applyAlignment="1">
      <alignment horizontal="left" vertical="center"/>
    </xf>
    <xf numFmtId="0" fontId="37" fillId="0" borderId="0" xfId="6" applyAlignment="1">
      <alignment horizontal="distributed" vertical="center"/>
    </xf>
    <xf numFmtId="0" fontId="49" fillId="0" borderId="0" xfId="6" applyFont="1" applyAlignment="1">
      <alignment horizontal="distributed" vertical="center" shrinkToFit="1"/>
    </xf>
    <xf numFmtId="0" fontId="37" fillId="0" borderId="0" xfId="6" applyAlignment="1">
      <alignment horizontal="distributed" vertical="center" shrinkToFit="1"/>
    </xf>
    <xf numFmtId="0" fontId="52" fillId="0" borderId="0" xfId="6" applyFont="1" applyAlignment="1">
      <alignment horizontal="center" vertical="center"/>
    </xf>
    <xf numFmtId="0" fontId="51" fillId="0" borderId="0" xfId="6" applyFont="1" applyAlignment="1">
      <alignment horizontal="center" vertical="center"/>
    </xf>
    <xf numFmtId="0" fontId="50" fillId="0" borderId="0" xfId="6" applyFont="1" applyAlignment="1">
      <alignment vertical="center"/>
    </xf>
    <xf numFmtId="181" fontId="49" fillId="0" borderId="0" xfId="6" applyNumberFormat="1" applyFont="1" applyAlignment="1">
      <alignment horizontal="left" vertical="center" shrinkToFit="1"/>
    </xf>
    <xf numFmtId="181" fontId="0" fillId="0" borderId="0" xfId="0" applyNumberFormat="1" applyAlignment="1">
      <alignment horizontal="left" vertical="center" shrinkToFit="1"/>
    </xf>
    <xf numFmtId="0" fontId="0" fillId="0" borderId="0" xfId="0" applyAlignment="1">
      <alignment horizontal="left" vertical="center" shrinkToFit="1"/>
    </xf>
    <xf numFmtId="0" fontId="37" fillId="0" borderId="0" xfId="6" applyAlignment="1">
      <alignment vertical="center"/>
    </xf>
    <xf numFmtId="185" fontId="7" fillId="0" borderId="0" xfId="0" applyNumberFormat="1" applyFont="1" applyBorder="1" applyAlignment="1" applyProtection="1">
      <alignment horizontal="right" vertical="center" shrinkToFit="1"/>
    </xf>
    <xf numFmtId="0" fontId="0" fillId="0" borderId="0" xfId="0" applyAlignment="1" applyProtection="1">
      <alignment horizontal="right" vertical="center" shrinkToFit="1"/>
    </xf>
    <xf numFmtId="0" fontId="7" fillId="0" borderId="0" xfId="0" applyFont="1" applyAlignment="1" applyProtection="1">
      <alignment vertical="center" shrinkToFit="1"/>
    </xf>
    <xf numFmtId="0" fontId="0" fillId="0" borderId="0" xfId="0" applyAlignment="1" applyProtection="1">
      <alignment vertical="center" shrinkToFit="1"/>
    </xf>
    <xf numFmtId="182" fontId="7" fillId="0" borderId="0" xfId="0" applyNumberFormat="1" applyFont="1" applyAlignment="1" applyProtection="1">
      <alignment horizontal="distributed" vertical="top" shrinkToFit="1"/>
    </xf>
    <xf numFmtId="0" fontId="0" fillId="0" borderId="0" xfId="0" applyAlignment="1" applyProtection="1">
      <alignment horizontal="distributed" vertical="top" shrinkToFit="1"/>
    </xf>
    <xf numFmtId="0" fontId="0" fillId="0" borderId="0" xfId="0" applyAlignment="1" applyProtection="1">
      <alignment vertical="top" shrinkToFit="1"/>
    </xf>
    <xf numFmtId="184" fontId="7" fillId="0" borderId="0" xfId="0" applyNumberFormat="1" applyFont="1" applyAlignment="1" applyProtection="1">
      <alignment horizontal="distributed" vertical="top" shrinkToFit="1"/>
    </xf>
    <xf numFmtId="181" fontId="7" fillId="0" borderId="0" xfId="0" applyNumberFormat="1" applyFont="1" applyAlignment="1" applyProtection="1">
      <alignment horizontal="distributed" vertical="top" shrinkToFit="1"/>
    </xf>
    <xf numFmtId="0" fontId="7" fillId="0" borderId="0" xfId="0" applyFont="1" applyAlignment="1" applyProtection="1">
      <alignment horizontal="distributed" vertical="center"/>
    </xf>
    <xf numFmtId="0" fontId="7" fillId="0" borderId="0" xfId="0" applyFont="1" applyAlignment="1" applyProtection="1">
      <alignment horizontal="left" vertical="center" wrapText="1"/>
    </xf>
    <xf numFmtId="0" fontId="7" fillId="0" borderId="0" xfId="0" applyFont="1" applyAlignment="1" applyProtection="1">
      <alignment vertical="center" wrapText="1"/>
    </xf>
    <xf numFmtId="0" fontId="7" fillId="0" borderId="0" xfId="0" applyFont="1" applyAlignment="1" applyProtection="1">
      <alignment vertical="center"/>
    </xf>
    <xf numFmtId="0" fontId="7" fillId="0" borderId="0" xfId="0" applyFont="1" applyAlignment="1" applyProtection="1">
      <alignment horizontal="distributed" vertical="center" shrinkToFit="1"/>
    </xf>
    <xf numFmtId="182" fontId="8" fillId="0" borderId="0" xfId="0" applyNumberFormat="1" applyFont="1" applyAlignment="1" applyProtection="1">
      <alignment horizontal="left" vertical="top" wrapText="1"/>
    </xf>
    <xf numFmtId="0" fontId="28" fillId="0" borderId="0" xfId="0" applyFont="1" applyAlignment="1" applyProtection="1">
      <alignment horizontal="left" vertical="center"/>
    </xf>
    <xf numFmtId="177" fontId="7" fillId="0" borderId="0" xfId="0" applyNumberFormat="1" applyFont="1" applyAlignment="1" applyProtection="1">
      <alignment horizontal="distributed" vertical="center"/>
    </xf>
    <xf numFmtId="0" fontId="0" fillId="0" borderId="0" xfId="0" applyAlignment="1" applyProtection="1">
      <alignment horizontal="distributed" vertical="center"/>
    </xf>
    <xf numFmtId="0" fontId="7" fillId="0" borderId="0" xfId="0" applyFont="1" applyAlignment="1" applyProtection="1">
      <alignment horizontal="left" vertical="center"/>
    </xf>
    <xf numFmtId="0" fontId="7" fillId="0" borderId="0" xfId="0" applyFont="1" applyAlignment="1" applyProtection="1">
      <alignment horizontal="center" vertical="center"/>
    </xf>
    <xf numFmtId="0" fontId="7" fillId="0" borderId="0" xfId="0" applyFont="1" applyFill="1" applyAlignment="1" applyProtection="1">
      <alignment horizontal="left" vertical="center" shrinkToFit="1"/>
    </xf>
    <xf numFmtId="0" fontId="7" fillId="0" borderId="0" xfId="0" applyFont="1" applyAlignment="1" applyProtection="1">
      <alignment horizontal="left" vertical="center" shrinkToFit="1"/>
    </xf>
    <xf numFmtId="0" fontId="9" fillId="0" borderId="0" xfId="0" applyFont="1" applyAlignment="1" applyProtection="1">
      <alignment horizontal="distributed" shrinkToFit="1"/>
    </xf>
    <xf numFmtId="0" fontId="38" fillId="0" borderId="0" xfId="0" applyFont="1" applyAlignment="1" applyProtection="1">
      <alignment vertical="top" wrapText="1"/>
    </xf>
    <xf numFmtId="0" fontId="39" fillId="0" borderId="0" xfId="0" applyFont="1" applyAlignment="1" applyProtection="1">
      <alignment vertical="top" wrapText="1"/>
    </xf>
    <xf numFmtId="0" fontId="7" fillId="0" borderId="0" xfId="0" applyFont="1" applyAlignment="1" applyProtection="1">
      <alignment vertical="distributed" wrapText="1"/>
    </xf>
    <xf numFmtId="0" fontId="0" fillId="0" borderId="0" xfId="0" applyAlignment="1" applyProtection="1">
      <alignment vertical="distributed" wrapText="1"/>
    </xf>
    <xf numFmtId="0" fontId="0" fillId="0" borderId="0" xfId="0" applyBorder="1" applyAlignment="1" applyProtection="1">
      <alignment vertical="distributed" wrapText="1"/>
    </xf>
    <xf numFmtId="0" fontId="7" fillId="0" borderId="0" xfId="0" applyFont="1" applyAlignment="1" applyProtection="1">
      <alignment horizontal="left" vertical="distributed" wrapText="1"/>
    </xf>
    <xf numFmtId="0" fontId="29" fillId="0" borderId="0" xfId="0" applyFont="1" applyBorder="1" applyAlignment="1" applyProtection="1">
      <alignment vertical="center" wrapText="1"/>
    </xf>
    <xf numFmtId="0" fontId="7" fillId="0" borderId="0" xfId="0" applyFont="1" applyAlignment="1" applyProtection="1">
      <alignment horizontal="center" vertical="center" shrinkToFit="1"/>
    </xf>
    <xf numFmtId="0" fontId="7" fillId="0" borderId="0" xfId="0" applyFont="1" applyAlignment="1" applyProtection="1">
      <alignment horizontal="left" vertical="center" indent="1"/>
    </xf>
    <xf numFmtId="0" fontId="7" fillId="0" borderId="0" xfId="0" applyFont="1" applyFill="1" applyAlignment="1" applyProtection="1">
      <alignment horizontal="left" vertical="center" indent="1" shrinkToFit="1"/>
    </xf>
    <xf numFmtId="0" fontId="8" fillId="0" borderId="0" xfId="0" applyFont="1" applyAlignment="1" applyProtection="1">
      <alignment horizontal="left" vertical="center" wrapText="1"/>
    </xf>
    <xf numFmtId="0" fontId="7" fillId="0" borderId="0" xfId="0" applyFont="1" applyProtection="1">
      <alignment vertical="center"/>
    </xf>
    <xf numFmtId="0" fontId="7" fillId="0" borderId="0" xfId="0" applyFont="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wrapText="1"/>
    </xf>
    <xf numFmtId="0" fontId="7" fillId="0" borderId="0" xfId="0" applyFont="1" applyAlignment="1" applyProtection="1">
      <alignment horizontal="left" vertical="top" shrinkToFit="1"/>
    </xf>
    <xf numFmtId="0" fontId="7" fillId="0" borderId="16" xfId="0" applyFont="1" applyBorder="1" applyAlignment="1" applyProtection="1">
      <alignment horizontal="center" vertical="center"/>
    </xf>
    <xf numFmtId="0" fontId="0" fillId="0" borderId="16" xfId="0" applyBorder="1" applyAlignment="1">
      <alignment horizontal="center" vertical="center"/>
    </xf>
    <xf numFmtId="187" fontId="7" fillId="0" borderId="0" xfId="0" applyNumberFormat="1" applyFont="1" applyBorder="1" applyAlignment="1" applyProtection="1">
      <alignment horizontal="right" vertical="center" shrinkToFit="1"/>
    </xf>
    <xf numFmtId="0" fontId="0" fillId="0" borderId="0" xfId="0" applyAlignment="1">
      <alignment vertical="center" shrinkToFit="1"/>
    </xf>
    <xf numFmtId="0" fontId="7" fillId="0" borderId="1" xfId="0" applyFont="1" applyBorder="1" applyAlignment="1" applyProtection="1">
      <alignment horizontal="center" vertical="center"/>
    </xf>
    <xf numFmtId="0" fontId="0" fillId="0" borderId="1" xfId="0" applyBorder="1" applyAlignment="1">
      <alignment horizontal="center" vertical="center"/>
    </xf>
    <xf numFmtId="0" fontId="7" fillId="0" borderId="0" xfId="0" applyFont="1" applyBorder="1" applyAlignment="1" applyProtection="1">
      <alignment horizontal="center" vertical="center" shrinkToFit="1"/>
    </xf>
    <xf numFmtId="177" fontId="7" fillId="0" borderId="5" xfId="0" applyNumberFormat="1" applyFont="1" applyFill="1" applyBorder="1" applyAlignment="1" applyProtection="1">
      <alignment horizontal="center" vertical="center"/>
    </xf>
    <xf numFmtId="0" fontId="7" fillId="0" borderId="2"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9" fillId="0" borderId="2" xfId="0" applyFont="1" applyBorder="1" applyAlignment="1" applyProtection="1">
      <alignment horizontal="left" vertical="center" wrapText="1"/>
    </xf>
    <xf numFmtId="0" fontId="35" fillId="0" borderId="4" xfId="0" applyFont="1" applyBorder="1" applyAlignment="1" applyProtection="1">
      <alignment vertical="center" wrapText="1"/>
    </xf>
    <xf numFmtId="0" fontId="9" fillId="4" borderId="1"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0" fontId="16" fillId="0" borderId="1" xfId="0" applyFont="1" applyFill="1" applyBorder="1" applyAlignment="1" applyProtection="1">
      <alignment horizontal="center" vertical="center" wrapText="1"/>
    </xf>
    <xf numFmtId="179" fontId="16" fillId="0" borderId="32" xfId="0" applyNumberFormat="1" applyFont="1" applyBorder="1" applyAlignment="1" applyProtection="1">
      <alignment vertical="center" shrinkToFit="1"/>
    </xf>
    <xf numFmtId="0" fontId="13" fillId="0" borderId="33" xfId="0" applyFont="1" applyBorder="1" applyAlignment="1" applyProtection="1">
      <alignment vertical="center" shrinkToFit="1"/>
    </xf>
    <xf numFmtId="0" fontId="13" fillId="0" borderId="34" xfId="0" applyFont="1" applyBorder="1" applyAlignment="1" applyProtection="1">
      <alignment vertical="center" shrinkToFit="1"/>
    </xf>
    <xf numFmtId="0" fontId="19" fillId="0" borderId="0" xfId="0" applyFont="1" applyAlignment="1" applyProtection="1">
      <alignment horizontal="center" vertical="center" wrapText="1"/>
    </xf>
    <xf numFmtId="0" fontId="9" fillId="0" borderId="15" xfId="0" applyFont="1" applyBorder="1" applyAlignment="1" applyProtection="1">
      <alignment horizontal="center" vertical="center"/>
    </xf>
    <xf numFmtId="0" fontId="35" fillId="0" borderId="17" xfId="0" applyFont="1" applyBorder="1" applyAlignment="1" applyProtection="1">
      <alignment vertical="center"/>
    </xf>
    <xf numFmtId="0" fontId="35" fillId="0" borderId="18" xfId="0" applyFont="1" applyBorder="1" applyAlignment="1" applyProtection="1">
      <alignment vertical="center"/>
    </xf>
    <xf numFmtId="0" fontId="35" fillId="0" borderId="10" xfId="0" applyFont="1" applyBorder="1" applyAlignment="1" applyProtection="1">
      <alignment vertical="center"/>
    </xf>
    <xf numFmtId="0" fontId="9" fillId="0" borderId="2" xfId="0" applyFont="1" applyFill="1" applyBorder="1" applyAlignment="1" applyProtection="1">
      <alignment horizontal="center" vertical="center"/>
    </xf>
    <xf numFmtId="0" fontId="35" fillId="0" borderId="4" xfId="0" applyFont="1" applyBorder="1" applyAlignment="1" applyProtection="1">
      <alignment vertical="center"/>
    </xf>
    <xf numFmtId="0" fontId="9" fillId="4" borderId="1"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xf>
    <xf numFmtId="0" fontId="16" fillId="0" borderId="63" xfId="0" applyFont="1" applyFill="1" applyBorder="1" applyAlignment="1" applyProtection="1">
      <alignment horizontal="center" vertical="center"/>
    </xf>
    <xf numFmtId="0" fontId="16" fillId="0" borderId="64"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9" fillId="0" borderId="55" xfId="0" applyFont="1" applyBorder="1" applyAlignment="1" applyProtection="1">
      <alignment horizontal="left" vertical="center" wrapText="1"/>
    </xf>
    <xf numFmtId="0" fontId="9" fillId="0" borderId="56" xfId="0" applyFont="1" applyBorder="1" applyAlignment="1" applyProtection="1">
      <alignment horizontal="left" vertical="center" wrapText="1"/>
    </xf>
    <xf numFmtId="0" fontId="9" fillId="0" borderId="57" xfId="0" applyFont="1" applyBorder="1" applyAlignment="1" applyProtection="1">
      <alignment horizontal="left" vertical="center" wrapText="1"/>
    </xf>
    <xf numFmtId="0" fontId="9" fillId="0" borderId="58"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59" xfId="0" applyFont="1" applyBorder="1" applyAlignment="1" applyProtection="1">
      <alignment horizontal="left" vertical="center" wrapText="1"/>
    </xf>
    <xf numFmtId="0" fontId="9" fillId="0" borderId="60" xfId="0" applyFont="1" applyBorder="1" applyAlignment="1" applyProtection="1">
      <alignment horizontal="left" vertical="center" wrapText="1"/>
    </xf>
    <xf numFmtId="0" fontId="9" fillId="0" borderId="61" xfId="0" applyFont="1" applyBorder="1" applyAlignment="1" applyProtection="1">
      <alignment horizontal="left" vertical="center" wrapText="1"/>
    </xf>
    <xf numFmtId="0" fontId="9" fillId="0" borderId="62" xfId="0" applyFont="1" applyBorder="1" applyAlignment="1" applyProtection="1">
      <alignment horizontal="left" vertical="center" wrapText="1"/>
    </xf>
    <xf numFmtId="0" fontId="9" fillId="0" borderId="15" xfId="0" applyFont="1" applyBorder="1" applyAlignment="1" applyProtection="1">
      <alignment horizontal="left" vertical="center"/>
    </xf>
    <xf numFmtId="0" fontId="9" fillId="0" borderId="16" xfId="0" applyFont="1" applyBorder="1" applyAlignment="1" applyProtection="1">
      <alignment horizontal="left" vertical="center"/>
    </xf>
    <xf numFmtId="0" fontId="9" fillId="0" borderId="17" xfId="0" applyFont="1" applyBorder="1" applyAlignment="1" applyProtection="1">
      <alignment horizontal="left" vertical="center"/>
    </xf>
    <xf numFmtId="0" fontId="9" fillId="0" borderId="18" xfId="0" applyFont="1" applyBorder="1" applyAlignment="1" applyProtection="1">
      <alignment horizontal="left" vertical="center"/>
    </xf>
    <xf numFmtId="0" fontId="9" fillId="0" borderId="5" xfId="0" applyFont="1" applyBorder="1" applyAlignment="1" applyProtection="1">
      <alignment horizontal="left" vertical="center"/>
    </xf>
    <xf numFmtId="0" fontId="9" fillId="0" borderId="10" xfId="0" applyFont="1" applyBorder="1" applyAlignment="1" applyProtection="1">
      <alignment horizontal="left" vertical="center"/>
    </xf>
    <xf numFmtId="192" fontId="9" fillId="0" borderId="1" xfId="0" applyNumberFormat="1" applyFont="1" applyBorder="1" applyAlignment="1" applyProtection="1">
      <alignment horizontal="right" vertical="center"/>
    </xf>
    <xf numFmtId="0" fontId="9" fillId="0" borderId="1" xfId="0" applyFont="1" applyBorder="1" applyAlignment="1" applyProtection="1">
      <alignment horizontal="right" vertical="center"/>
    </xf>
    <xf numFmtId="0" fontId="35" fillId="5" borderId="0" xfId="0" applyFont="1" applyFill="1" applyAlignment="1" applyProtection="1">
      <alignment vertical="center"/>
    </xf>
    <xf numFmtId="0" fontId="7"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Alignment="1" applyProtection="1">
      <alignment horizontal="center" vertical="center" wrapText="1"/>
    </xf>
    <xf numFmtId="0" fontId="9" fillId="0" borderId="7" xfId="0" applyFont="1" applyBorder="1" applyAlignment="1" applyProtection="1">
      <alignment vertical="center" shrinkToFit="1"/>
    </xf>
    <xf numFmtId="0" fontId="35" fillId="0" borderId="8" xfId="0" applyFont="1" applyBorder="1" applyAlignment="1" applyProtection="1">
      <alignment vertical="center" shrinkToFit="1"/>
    </xf>
    <xf numFmtId="0" fontId="35" fillId="0" borderId="6" xfId="0" applyFont="1" applyBorder="1" applyAlignment="1" applyProtection="1">
      <alignment vertical="center" shrinkToFit="1"/>
    </xf>
    <xf numFmtId="189" fontId="9" fillId="0" borderId="1" xfId="0" applyNumberFormat="1" applyFont="1" applyBorder="1" applyAlignment="1" applyProtection="1">
      <alignment horizontal="center" vertical="center" shrinkToFit="1"/>
    </xf>
    <xf numFmtId="189" fontId="35" fillId="0" borderId="1" xfId="0" applyNumberFormat="1" applyFont="1" applyBorder="1" applyAlignment="1" applyProtection="1">
      <alignment horizontal="center" vertical="center" shrinkToFit="1"/>
    </xf>
    <xf numFmtId="0" fontId="35" fillId="0" borderId="1" xfId="0" applyFont="1" applyBorder="1" applyAlignment="1" applyProtection="1">
      <alignment horizontal="center" vertical="center" shrinkToFit="1"/>
    </xf>
    <xf numFmtId="190" fontId="9" fillId="0" borderId="1" xfId="0" applyNumberFormat="1" applyFont="1" applyBorder="1" applyAlignment="1" applyProtection="1">
      <alignment vertical="center" shrinkToFit="1"/>
    </xf>
    <xf numFmtId="190" fontId="35" fillId="0" borderId="1" xfId="0" applyNumberFormat="1" applyFont="1" applyBorder="1" applyAlignment="1" applyProtection="1">
      <alignment vertical="center" shrinkToFit="1"/>
    </xf>
    <xf numFmtId="191" fontId="9" fillId="0" borderId="7" xfId="0" applyNumberFormat="1" applyFont="1" applyBorder="1" applyAlignment="1" applyProtection="1">
      <alignment vertical="center" shrinkToFit="1"/>
    </xf>
    <xf numFmtId="191" fontId="35" fillId="0" borderId="8" xfId="0" applyNumberFormat="1" applyFont="1" applyBorder="1" applyAlignment="1" applyProtection="1">
      <alignment vertical="center" shrinkToFit="1"/>
    </xf>
    <xf numFmtId="191" fontId="35" fillId="0" borderId="6" xfId="0" applyNumberFormat="1" applyFont="1" applyBorder="1" applyAlignment="1" applyProtection="1">
      <alignment vertical="center" shrinkToFit="1"/>
    </xf>
    <xf numFmtId="0" fontId="9" fillId="0" borderId="7" xfId="0" applyFont="1" applyBorder="1" applyAlignment="1" applyProtection="1">
      <alignment horizontal="center" vertical="center" shrinkToFit="1"/>
    </xf>
    <xf numFmtId="0" fontId="35" fillId="0" borderId="8" xfId="0" applyFont="1" applyBorder="1" applyAlignment="1" applyProtection="1">
      <alignment horizontal="center" vertical="center" shrinkToFit="1"/>
    </xf>
    <xf numFmtId="0" fontId="35" fillId="0" borderId="6" xfId="0" applyFont="1" applyBorder="1" applyAlignment="1" applyProtection="1">
      <alignment horizontal="center" vertical="center" shrinkToFit="1"/>
    </xf>
    <xf numFmtId="0" fontId="35" fillId="0" borderId="8" xfId="0" applyFont="1" applyBorder="1" applyAlignment="1" applyProtection="1">
      <alignment horizontal="center" vertical="center"/>
    </xf>
    <xf numFmtId="0" fontId="35" fillId="0" borderId="6" xfId="0" applyFont="1" applyBorder="1" applyAlignment="1" applyProtection="1">
      <alignment horizontal="center" vertical="center"/>
    </xf>
    <xf numFmtId="0" fontId="35" fillId="0" borderId="1" xfId="0" applyFont="1" applyBorder="1" applyAlignment="1" applyProtection="1">
      <alignment vertical="center"/>
    </xf>
    <xf numFmtId="192" fontId="9" fillId="0" borderId="1" xfId="0" applyNumberFormat="1" applyFont="1" applyBorder="1" applyAlignment="1" applyProtection="1">
      <alignment vertical="center"/>
    </xf>
    <xf numFmtId="0" fontId="7" fillId="0" borderId="1" xfId="0" applyFont="1" applyBorder="1" applyAlignment="1" applyProtection="1">
      <alignment vertical="center"/>
    </xf>
    <xf numFmtId="0" fontId="9" fillId="0" borderId="1" xfId="0" applyFont="1" applyBorder="1" applyAlignment="1" applyProtection="1">
      <alignment vertical="center"/>
    </xf>
    <xf numFmtId="198" fontId="9" fillId="6" borderId="1" xfId="0" applyNumberFormat="1" applyFont="1" applyFill="1" applyBorder="1" applyAlignment="1" applyProtection="1">
      <alignment vertical="center" shrinkToFit="1"/>
      <protection locked="0"/>
    </xf>
    <xf numFmtId="198" fontId="35" fillId="6" borderId="1" xfId="0" applyNumberFormat="1" applyFont="1" applyFill="1" applyBorder="1" applyAlignment="1" applyProtection="1">
      <alignment vertical="center" shrinkToFit="1"/>
      <protection locked="0"/>
    </xf>
    <xf numFmtId="0" fontId="9" fillId="0" borderId="7" xfId="0" applyFont="1" applyBorder="1" applyAlignment="1" applyProtection="1">
      <alignment vertical="center"/>
    </xf>
    <xf numFmtId="0" fontId="35" fillId="0" borderId="8" xfId="0" applyFont="1" applyBorder="1" applyAlignment="1" applyProtection="1">
      <alignment vertical="center"/>
    </xf>
    <xf numFmtId="0" fontId="35" fillId="0" borderId="6" xfId="0" applyFont="1" applyBorder="1" applyAlignment="1" applyProtection="1">
      <alignment vertical="center"/>
    </xf>
    <xf numFmtId="192" fontId="9" fillId="6" borderId="1" xfId="0" applyNumberFormat="1" applyFont="1" applyFill="1" applyBorder="1" applyAlignment="1" applyProtection="1">
      <alignment vertical="center"/>
      <protection locked="0"/>
    </xf>
    <xf numFmtId="192" fontId="35" fillId="6" borderId="1" xfId="0" applyNumberFormat="1"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35" fillId="0" borderId="1" xfId="0" applyFont="1" applyBorder="1" applyAlignment="1" applyProtection="1">
      <alignment horizontal="left" vertical="center"/>
    </xf>
    <xf numFmtId="179" fontId="9" fillId="6" borderId="1" xfId="0" applyNumberFormat="1" applyFont="1" applyFill="1" applyBorder="1" applyAlignment="1" applyProtection="1">
      <alignment vertical="center" shrinkToFit="1"/>
      <protection locked="0"/>
    </xf>
    <xf numFmtId="179" fontId="35" fillId="6" borderId="1" xfId="0" applyNumberFormat="1" applyFont="1" applyFill="1" applyBorder="1" applyAlignment="1" applyProtection="1">
      <alignment vertical="center" shrinkToFit="1"/>
      <protection locked="0"/>
    </xf>
    <xf numFmtId="0" fontId="9" fillId="6" borderId="1" xfId="0" applyFont="1" applyFill="1" applyBorder="1" applyAlignment="1" applyProtection="1">
      <alignment vertical="center" shrinkToFit="1"/>
      <protection locked="0"/>
    </xf>
    <xf numFmtId="0" fontId="35" fillId="6" borderId="1" xfId="0" applyFont="1" applyFill="1" applyBorder="1" applyAlignment="1" applyProtection="1">
      <alignment vertical="center" shrinkToFit="1"/>
      <protection locked="0"/>
    </xf>
    <xf numFmtId="0" fontId="9" fillId="0" borderId="32" xfId="0" applyFont="1" applyBorder="1" applyAlignment="1" applyProtection="1">
      <alignment horizontal="center" vertical="center"/>
    </xf>
    <xf numFmtId="0" fontId="35" fillId="0" borderId="34" xfId="0" applyFont="1" applyBorder="1" applyAlignment="1" applyProtection="1">
      <alignment horizontal="center" vertical="center"/>
    </xf>
    <xf numFmtId="179" fontId="9" fillId="0" borderId="13" xfId="0" applyNumberFormat="1" applyFont="1" applyBorder="1" applyAlignment="1" applyProtection="1">
      <alignment vertical="center" shrinkToFit="1"/>
    </xf>
    <xf numFmtId="0" fontId="35" fillId="0" borderId="13" xfId="0" applyFont="1" applyBorder="1" applyAlignment="1" applyProtection="1">
      <alignment vertical="center" shrinkToFit="1"/>
    </xf>
    <xf numFmtId="0" fontId="9" fillId="0" borderId="13" xfId="0" applyFont="1" applyBorder="1" applyAlignment="1" applyProtection="1">
      <alignment horizontal="center" vertical="center" shrinkToFit="1"/>
    </xf>
    <xf numFmtId="0" fontId="35" fillId="0" borderId="13" xfId="0" applyFont="1" applyBorder="1" applyAlignment="1" applyProtection="1">
      <alignment horizontal="center" vertical="center" shrinkToFit="1"/>
    </xf>
    <xf numFmtId="179" fontId="9" fillId="6" borderId="43" xfId="0" applyNumberFormat="1" applyFont="1" applyFill="1" applyBorder="1" applyAlignment="1" applyProtection="1">
      <alignment vertical="center" shrinkToFit="1"/>
      <protection locked="0"/>
    </xf>
    <xf numFmtId="179" fontId="9" fillId="6" borderId="44" xfId="0" applyNumberFormat="1" applyFont="1" applyFill="1" applyBorder="1" applyAlignment="1" applyProtection="1">
      <alignment vertical="center" shrinkToFit="1"/>
      <protection locked="0"/>
    </xf>
    <xf numFmtId="179" fontId="9" fillId="6" borderId="45" xfId="0" applyNumberFormat="1" applyFont="1" applyFill="1" applyBorder="1" applyAlignment="1" applyProtection="1">
      <alignment vertical="center" shrinkToFit="1"/>
      <protection locked="0"/>
    </xf>
    <xf numFmtId="193" fontId="9" fillId="6" borderId="1" xfId="0" applyNumberFormat="1" applyFont="1" applyFill="1" applyBorder="1" applyAlignment="1" applyProtection="1">
      <alignment vertical="center" shrinkToFit="1"/>
      <protection locked="0"/>
    </xf>
    <xf numFmtId="193" fontId="35" fillId="6" borderId="1" xfId="0" applyNumberFormat="1" applyFont="1" applyFill="1" applyBorder="1" applyAlignment="1" applyProtection="1">
      <alignment vertical="center" shrinkToFit="1"/>
      <protection locked="0"/>
    </xf>
    <xf numFmtId="193" fontId="9" fillId="6" borderId="7" xfId="0" applyNumberFormat="1" applyFont="1" applyFill="1" applyBorder="1" applyAlignment="1" applyProtection="1">
      <alignment vertical="center" shrinkToFit="1"/>
      <protection locked="0"/>
    </xf>
    <xf numFmtId="193" fontId="9" fillId="6" borderId="8" xfId="0" applyNumberFormat="1" applyFont="1" applyFill="1" applyBorder="1" applyAlignment="1" applyProtection="1">
      <alignment vertical="center" shrinkToFit="1"/>
      <protection locked="0"/>
    </xf>
    <xf numFmtId="193" fontId="9" fillId="6" borderId="6" xfId="0" applyNumberFormat="1" applyFont="1" applyFill="1" applyBorder="1" applyAlignment="1" applyProtection="1">
      <alignment vertical="center" shrinkToFit="1"/>
      <protection locked="0"/>
    </xf>
    <xf numFmtId="193" fontId="9" fillId="6" borderId="43" xfId="0" applyNumberFormat="1" applyFont="1" applyFill="1" applyBorder="1" applyAlignment="1" applyProtection="1">
      <alignment vertical="center" shrinkToFit="1"/>
      <protection locked="0"/>
    </xf>
    <xf numFmtId="193" fontId="9" fillId="6" borderId="44" xfId="0" applyNumberFormat="1" applyFont="1" applyFill="1" applyBorder="1" applyAlignment="1" applyProtection="1">
      <alignment vertical="center" shrinkToFit="1"/>
      <protection locked="0"/>
    </xf>
    <xf numFmtId="193" fontId="9" fillId="6" borderId="45" xfId="0" applyNumberFormat="1" applyFont="1" applyFill="1" applyBorder="1" applyAlignment="1" applyProtection="1">
      <alignment vertical="center" shrinkToFit="1"/>
      <protection locked="0"/>
    </xf>
    <xf numFmtId="179" fontId="9" fillId="0" borderId="1" xfId="0" applyNumberFormat="1" applyFont="1" applyBorder="1" applyAlignment="1" applyProtection="1">
      <alignment vertical="center" shrinkToFit="1"/>
    </xf>
    <xf numFmtId="179" fontId="35" fillId="0" borderId="1" xfId="0" applyNumberFormat="1" applyFont="1" applyBorder="1" applyAlignment="1" applyProtection="1">
      <alignment vertical="center" shrinkToFit="1"/>
    </xf>
    <xf numFmtId="179" fontId="9" fillId="0" borderId="2" xfId="0" applyNumberFormat="1" applyFont="1" applyBorder="1" applyAlignment="1" applyProtection="1">
      <alignment vertical="center" shrinkToFit="1"/>
    </xf>
    <xf numFmtId="179" fontId="35" fillId="0" borderId="2" xfId="0" applyNumberFormat="1" applyFont="1" applyBorder="1" applyAlignment="1" applyProtection="1">
      <alignment vertical="center" shrinkToFit="1"/>
    </xf>
    <xf numFmtId="0" fontId="9" fillId="0" borderId="61" xfId="0" applyFont="1" applyBorder="1" applyAlignment="1" applyProtection="1">
      <alignment vertical="center" shrinkToFit="1"/>
    </xf>
    <xf numFmtId="0" fontId="0" fillId="0" borderId="61" xfId="0" applyBorder="1" applyAlignment="1">
      <alignment vertical="center" shrinkToFit="1"/>
    </xf>
    <xf numFmtId="179" fontId="7" fillId="0" borderId="2" xfId="0" applyNumberFormat="1" applyFont="1" applyBorder="1" applyAlignment="1" applyProtection="1">
      <alignment horizontal="center" vertical="center"/>
    </xf>
    <xf numFmtId="179" fontId="6" fillId="0" borderId="2" xfId="0" applyNumberFormat="1" applyFont="1" applyBorder="1" applyAlignment="1" applyProtection="1">
      <alignment horizontal="center" vertical="center"/>
    </xf>
    <xf numFmtId="179" fontId="6" fillId="0" borderId="3" xfId="0" applyNumberFormat="1" applyFont="1" applyBorder="1" applyAlignment="1" applyProtection="1">
      <alignment horizontal="center" vertical="center"/>
    </xf>
    <xf numFmtId="179" fontId="6" fillId="0" borderId="4" xfId="0" applyNumberFormat="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9" fillId="0" borderId="15" xfId="0" applyFont="1" applyBorder="1" applyAlignment="1" applyProtection="1">
      <alignment vertical="center"/>
    </xf>
    <xf numFmtId="0" fontId="9" fillId="0" borderId="16" xfId="0" applyFont="1" applyBorder="1" applyAlignment="1" applyProtection="1">
      <alignment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0" xfId="0" applyFont="1" applyBorder="1" applyAlignment="1" applyProtection="1">
      <alignment vertical="center"/>
    </xf>
    <xf numFmtId="0" fontId="9" fillId="0" borderId="15" xfId="0" applyFont="1" applyBorder="1" applyAlignment="1" applyProtection="1">
      <alignment vertical="center" wrapText="1"/>
    </xf>
    <xf numFmtId="0" fontId="9" fillId="0" borderId="16" xfId="0" applyFont="1" applyBorder="1" applyAlignment="1" applyProtection="1">
      <alignment vertical="center" wrapText="1"/>
    </xf>
    <xf numFmtId="0" fontId="9" fillId="0" borderId="17" xfId="0" applyFont="1" applyBorder="1" applyAlignment="1" applyProtection="1">
      <alignment vertical="center" wrapText="1"/>
    </xf>
    <xf numFmtId="0" fontId="9" fillId="0" borderId="18" xfId="0" applyFont="1" applyBorder="1" applyAlignment="1" applyProtection="1">
      <alignment vertical="center" wrapText="1"/>
    </xf>
    <xf numFmtId="0" fontId="9" fillId="0" borderId="5" xfId="0" applyFont="1" applyBorder="1" applyAlignment="1" applyProtection="1">
      <alignment vertical="center" wrapText="1"/>
    </xf>
    <xf numFmtId="0" fontId="9" fillId="0" borderId="10" xfId="0" applyFont="1" applyBorder="1" applyAlignment="1" applyProtection="1">
      <alignment vertical="center" wrapText="1"/>
    </xf>
    <xf numFmtId="0" fontId="9" fillId="0" borderId="8" xfId="0" applyFont="1" applyBorder="1" applyAlignment="1" applyProtection="1">
      <alignment horizontal="center" vertical="center"/>
    </xf>
    <xf numFmtId="0" fontId="9" fillId="0" borderId="6" xfId="0" applyFont="1" applyBorder="1" applyAlignment="1" applyProtection="1">
      <alignment horizontal="center" vertical="center"/>
    </xf>
    <xf numFmtId="179" fontId="9" fillId="0" borderId="32" xfId="0" applyNumberFormat="1" applyFont="1" applyBorder="1" applyAlignment="1" applyProtection="1">
      <alignment vertical="center" shrinkToFit="1"/>
    </xf>
    <xf numFmtId="0" fontId="9" fillId="0" borderId="34" xfId="0" applyFont="1" applyBorder="1" applyAlignment="1" applyProtection="1">
      <alignment vertical="center" shrinkToFit="1"/>
    </xf>
    <xf numFmtId="179" fontId="9" fillId="0" borderId="7" xfId="0" applyNumberFormat="1" applyFont="1" applyBorder="1" applyAlignment="1" applyProtection="1">
      <alignment vertical="center" shrinkToFit="1"/>
    </xf>
    <xf numFmtId="179" fontId="9" fillId="0" borderId="6" xfId="0" applyNumberFormat="1" applyFont="1" applyBorder="1" applyAlignment="1" applyProtection="1">
      <alignment vertical="center" shrinkToFit="1"/>
    </xf>
    <xf numFmtId="179" fontId="9" fillId="6" borderId="7" xfId="0" applyNumberFormat="1" applyFont="1" applyFill="1" applyBorder="1" applyAlignment="1" applyProtection="1">
      <alignment vertical="center" shrinkToFit="1"/>
      <protection locked="0"/>
    </xf>
    <xf numFmtId="179" fontId="9" fillId="6" borderId="8" xfId="0" applyNumberFormat="1" applyFont="1" applyFill="1" applyBorder="1" applyAlignment="1" applyProtection="1">
      <alignment vertical="center" shrinkToFit="1"/>
      <protection locked="0"/>
    </xf>
    <xf numFmtId="179" fontId="9" fillId="6" borderId="6" xfId="0" applyNumberFormat="1" applyFont="1" applyFill="1" applyBorder="1" applyAlignment="1" applyProtection="1">
      <alignment vertical="center" shrinkToFit="1"/>
      <protection locked="0"/>
    </xf>
    <xf numFmtId="0" fontId="35" fillId="0" borderId="17"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6" xfId="0" applyFont="1" applyBorder="1" applyAlignment="1" applyProtection="1">
      <alignment horizontal="center" vertical="center"/>
    </xf>
    <xf numFmtId="0" fontId="9" fillId="0" borderId="55" xfId="0" applyFont="1" applyBorder="1" applyAlignment="1" applyProtection="1">
      <alignment vertical="center" wrapText="1"/>
    </xf>
    <xf numFmtId="0" fontId="35" fillId="0" borderId="56" xfId="0" applyFont="1" applyBorder="1" applyAlignment="1" applyProtection="1">
      <alignment vertical="center"/>
    </xf>
    <xf numFmtId="0" fontId="35" fillId="0" borderId="57" xfId="0" applyFont="1" applyBorder="1" applyAlignment="1" applyProtection="1">
      <alignment vertical="center"/>
    </xf>
    <xf numFmtId="0" fontId="35" fillId="0" borderId="58" xfId="0" applyFont="1" applyBorder="1" applyAlignment="1" applyProtection="1">
      <alignment vertical="center"/>
    </xf>
    <xf numFmtId="0" fontId="35" fillId="0" borderId="0" xfId="0" applyFont="1" applyBorder="1" applyAlignment="1" applyProtection="1">
      <alignment vertical="center"/>
    </xf>
    <xf numFmtId="0" fontId="35" fillId="0" borderId="59" xfId="0" applyFont="1" applyBorder="1" applyAlignment="1" applyProtection="1">
      <alignment vertical="center"/>
    </xf>
    <xf numFmtId="0" fontId="35" fillId="0" borderId="60" xfId="0" applyFont="1" applyBorder="1" applyAlignment="1" applyProtection="1">
      <alignment vertical="center"/>
    </xf>
    <xf numFmtId="0" fontId="35" fillId="0" borderId="61" xfId="0" applyFont="1" applyBorder="1" applyAlignment="1" applyProtection="1">
      <alignment vertical="center"/>
    </xf>
    <xf numFmtId="0" fontId="35" fillId="0" borderId="62" xfId="0" applyFont="1" applyBorder="1" applyAlignment="1" applyProtection="1">
      <alignment vertical="center"/>
    </xf>
    <xf numFmtId="0" fontId="35" fillId="0" borderId="0" xfId="0" applyFont="1" applyAlignment="1" applyProtection="1">
      <alignment horizontal="center" vertical="center"/>
    </xf>
    <xf numFmtId="197" fontId="9" fillId="0" borderId="1" xfId="0" applyNumberFormat="1" applyFont="1" applyBorder="1" applyAlignment="1" applyProtection="1">
      <alignment vertical="center" shrinkToFit="1"/>
    </xf>
    <xf numFmtId="197" fontId="35" fillId="0" borderId="1" xfId="0" applyNumberFormat="1" applyFont="1" applyBorder="1" applyAlignment="1" applyProtection="1">
      <alignment vertical="center" shrinkToFit="1"/>
    </xf>
    <xf numFmtId="179" fontId="9" fillId="6" borderId="1" xfId="0" applyNumberFormat="1" applyFont="1" applyFill="1" applyBorder="1" applyAlignment="1" applyProtection="1">
      <alignment vertical="center"/>
      <protection locked="0"/>
    </xf>
    <xf numFmtId="179" fontId="35" fillId="6" borderId="1" xfId="0" applyNumberFormat="1" applyFont="1" applyFill="1" applyBorder="1" applyAlignment="1" applyProtection="1">
      <alignment vertical="center"/>
      <protection locked="0"/>
    </xf>
    <xf numFmtId="0" fontId="16" fillId="0" borderId="58" xfId="0" applyFont="1" applyBorder="1" applyAlignment="1" applyProtection="1">
      <alignment vertical="center"/>
    </xf>
    <xf numFmtId="0" fontId="13" fillId="0" borderId="0" xfId="0" applyFont="1" applyBorder="1" applyAlignment="1" applyProtection="1">
      <alignment vertical="center"/>
    </xf>
    <xf numFmtId="0" fontId="13" fillId="0" borderId="59" xfId="0" applyFont="1" applyBorder="1" applyAlignment="1" applyProtection="1">
      <alignment vertical="center"/>
    </xf>
    <xf numFmtId="0" fontId="13" fillId="0" borderId="58" xfId="0" applyFont="1" applyBorder="1" applyAlignment="1" applyProtection="1">
      <alignment vertical="center"/>
    </xf>
    <xf numFmtId="0" fontId="13" fillId="0" borderId="60" xfId="0" applyFont="1" applyBorder="1" applyAlignment="1" applyProtection="1">
      <alignment vertical="center"/>
    </xf>
    <xf numFmtId="0" fontId="13" fillId="0" borderId="61" xfId="0" applyFont="1" applyBorder="1" applyAlignment="1" applyProtection="1">
      <alignment vertical="center"/>
    </xf>
    <xf numFmtId="0" fontId="13" fillId="0" borderId="62" xfId="0" applyFont="1" applyBorder="1" applyAlignment="1" applyProtection="1">
      <alignment vertical="center"/>
    </xf>
    <xf numFmtId="0" fontId="16" fillId="0" borderId="55" xfId="0" applyFont="1" applyBorder="1" applyAlignment="1" applyProtection="1">
      <alignment vertical="center"/>
    </xf>
    <xf numFmtId="0" fontId="16" fillId="0" borderId="56" xfId="0" applyFont="1" applyBorder="1" applyAlignment="1" applyProtection="1">
      <alignment vertical="center"/>
    </xf>
    <xf numFmtId="0" fontId="16" fillId="0" borderId="57" xfId="0" applyFont="1" applyBorder="1" applyAlignment="1" applyProtection="1">
      <alignment vertical="center"/>
    </xf>
    <xf numFmtId="0" fontId="16" fillId="0" borderId="0" xfId="0" applyFont="1" applyBorder="1" applyAlignment="1" applyProtection="1">
      <alignment vertical="center"/>
    </xf>
    <xf numFmtId="0" fontId="16" fillId="0" borderId="59" xfId="0" applyFont="1" applyBorder="1" applyAlignment="1" applyProtection="1">
      <alignment vertical="center"/>
    </xf>
    <xf numFmtId="179" fontId="16" fillId="0" borderId="15" xfId="0" applyNumberFormat="1" applyFont="1" applyBorder="1" applyAlignment="1" applyProtection="1">
      <alignment vertical="center"/>
    </xf>
    <xf numFmtId="0" fontId="0" fillId="0" borderId="16" xfId="0" applyBorder="1" applyAlignment="1" applyProtection="1">
      <alignment vertical="center"/>
    </xf>
    <xf numFmtId="0" fontId="0" fillId="0" borderId="17" xfId="0" applyBorder="1" applyAlignment="1" applyProtection="1">
      <alignment vertical="center"/>
    </xf>
    <xf numFmtId="0" fontId="16" fillId="0" borderId="50" xfId="0" applyFont="1" applyBorder="1" applyAlignment="1" applyProtection="1">
      <alignment vertical="center"/>
    </xf>
    <xf numFmtId="0" fontId="0" fillId="0" borderId="50" xfId="0" applyBorder="1" applyAlignment="1" applyProtection="1">
      <alignment vertical="center"/>
    </xf>
    <xf numFmtId="0" fontId="16" fillId="0" borderId="0" xfId="0" applyFont="1" applyAlignment="1" applyProtection="1">
      <alignment horizontal="center" vertical="center"/>
    </xf>
    <xf numFmtId="0" fontId="16" fillId="0" borderId="3"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6" borderId="1" xfId="0" applyFont="1" applyFill="1" applyBorder="1" applyAlignment="1" applyProtection="1">
      <alignment horizontal="left" vertical="center" shrinkToFit="1"/>
      <protection locked="0"/>
    </xf>
    <xf numFmtId="0" fontId="16" fillId="6" borderId="1" xfId="0" applyFont="1" applyFill="1" applyBorder="1" applyAlignment="1" applyProtection="1">
      <alignment vertical="center" shrinkToFit="1"/>
      <protection locked="0"/>
    </xf>
    <xf numFmtId="0" fontId="0" fillId="6" borderId="1" xfId="0" applyFill="1" applyBorder="1" applyAlignment="1" applyProtection="1">
      <alignment vertical="center" shrinkToFit="1"/>
      <protection locked="0"/>
    </xf>
    <xf numFmtId="0" fontId="16"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4" fillId="0" borderId="0" xfId="0" applyFont="1" applyAlignment="1" applyProtection="1">
      <alignment vertical="center" shrinkToFit="1"/>
    </xf>
    <xf numFmtId="0" fontId="41" fillId="0" borderId="0" xfId="0" applyFont="1" applyAlignment="1" applyProtection="1">
      <alignment vertical="center" shrinkToFit="1"/>
    </xf>
    <xf numFmtId="0" fontId="16" fillId="5" borderId="0" xfId="0" applyFont="1" applyFill="1" applyAlignment="1" applyProtection="1">
      <alignment vertical="center"/>
    </xf>
    <xf numFmtId="0" fontId="16" fillId="0" borderId="47" xfId="0" applyFont="1" applyBorder="1" applyAlignment="1" applyProtection="1">
      <alignment vertical="center"/>
    </xf>
    <xf numFmtId="0" fontId="0" fillId="0" borderId="47" xfId="0" applyBorder="1" applyAlignment="1" applyProtection="1">
      <alignment vertical="center"/>
    </xf>
    <xf numFmtId="0" fontId="0" fillId="0" borderId="48" xfId="0" applyBorder="1" applyAlignment="1" applyProtection="1">
      <alignment vertical="center"/>
    </xf>
    <xf numFmtId="0" fontId="0" fillId="0" borderId="53" xfId="0" applyBorder="1" applyAlignment="1" applyProtection="1">
      <alignment vertical="center"/>
    </xf>
    <xf numFmtId="0" fontId="19" fillId="0" borderId="0" xfId="0" applyFont="1" applyAlignment="1" applyProtection="1">
      <alignment vertical="center" wrapText="1"/>
    </xf>
    <xf numFmtId="0" fontId="16" fillId="0" borderId="2" xfId="0" applyFont="1" applyBorder="1" applyAlignment="1" applyProtection="1">
      <alignment vertical="center"/>
    </xf>
    <xf numFmtId="0" fontId="0" fillId="0" borderId="2" xfId="0" applyBorder="1" applyAlignment="1" applyProtection="1">
      <alignment vertical="center"/>
    </xf>
    <xf numFmtId="179" fontId="16" fillId="0" borderId="1" xfId="0" applyNumberFormat="1" applyFont="1" applyBorder="1" applyAlignment="1" applyProtection="1">
      <alignment vertical="center" shrinkToFit="1"/>
    </xf>
    <xf numFmtId="179" fontId="0" fillId="0" borderId="1" xfId="0" applyNumberFormat="1" applyBorder="1" applyAlignment="1" applyProtection="1">
      <alignment vertical="center" shrinkToFit="1"/>
    </xf>
    <xf numFmtId="179" fontId="16" fillId="0" borderId="1" xfId="0" applyNumberFormat="1" applyFont="1" applyFill="1" applyBorder="1" applyAlignment="1" applyProtection="1">
      <alignment vertical="center" shrinkToFit="1"/>
    </xf>
    <xf numFmtId="179" fontId="0" fillId="0" borderId="1" xfId="0" applyNumberFormat="1" applyFill="1" applyBorder="1" applyAlignment="1" applyProtection="1">
      <alignment vertical="center" shrinkToFit="1"/>
    </xf>
    <xf numFmtId="0" fontId="16" fillId="0" borderId="1"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6" borderId="7" xfId="0" applyFont="1" applyFill="1" applyBorder="1" applyAlignment="1" applyProtection="1">
      <alignment horizontal="left" vertical="center" shrinkToFit="1"/>
      <protection locked="0"/>
    </xf>
    <xf numFmtId="0" fontId="16" fillId="6" borderId="8" xfId="0" applyFont="1" applyFill="1"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179" fontId="16" fillId="0" borderId="7" xfId="0" applyNumberFormat="1" applyFont="1" applyBorder="1" applyAlignment="1" applyProtection="1">
      <alignment vertical="center"/>
    </xf>
    <xf numFmtId="179" fontId="16" fillId="0" borderId="32" xfId="0" applyNumberFormat="1" applyFont="1" applyBorder="1" applyAlignment="1" applyProtection="1">
      <alignment vertical="center"/>
    </xf>
    <xf numFmtId="0" fontId="0" fillId="0" borderId="33" xfId="0" applyBorder="1" applyAlignment="1" applyProtection="1">
      <alignment vertical="center"/>
    </xf>
    <xf numFmtId="0" fontId="0" fillId="0" borderId="34" xfId="0" applyBorder="1" applyAlignment="1" applyProtection="1">
      <alignment vertical="center"/>
    </xf>
    <xf numFmtId="180" fontId="16" fillId="6" borderId="1" xfId="0" applyNumberFormat="1" applyFont="1" applyFill="1" applyBorder="1" applyAlignment="1" applyProtection="1">
      <alignment vertical="center" shrinkToFit="1"/>
      <protection locked="0"/>
    </xf>
    <xf numFmtId="180" fontId="0" fillId="6" borderId="1" xfId="0" applyNumberFormat="1" applyFill="1" applyBorder="1" applyAlignment="1" applyProtection="1">
      <alignment vertical="center" shrinkToFit="1"/>
      <protection locked="0"/>
    </xf>
    <xf numFmtId="179" fontId="16" fillId="6" borderId="1" xfId="0" applyNumberFormat="1" applyFont="1" applyFill="1" applyBorder="1" applyAlignment="1" applyProtection="1">
      <alignment vertical="center" shrinkToFit="1"/>
      <protection locked="0"/>
    </xf>
    <xf numFmtId="179" fontId="0" fillId="6" borderId="1" xfId="0" applyNumberFormat="1" applyFill="1" applyBorder="1" applyAlignment="1" applyProtection="1">
      <alignment vertical="center" shrinkToFit="1"/>
      <protection locked="0"/>
    </xf>
    <xf numFmtId="179" fontId="16" fillId="0" borderId="2" xfId="0" applyNumberFormat="1" applyFont="1" applyBorder="1" applyAlignment="1" applyProtection="1">
      <alignment vertical="center" shrinkToFit="1"/>
    </xf>
    <xf numFmtId="179" fontId="0" fillId="0" borderId="2" xfId="0" applyNumberFormat="1" applyBorder="1" applyAlignment="1" applyProtection="1">
      <alignment vertical="center" shrinkToFit="1"/>
    </xf>
    <xf numFmtId="179" fontId="16" fillId="0" borderId="13" xfId="0" applyNumberFormat="1" applyFont="1" applyFill="1" applyBorder="1" applyAlignment="1" applyProtection="1">
      <alignment vertical="center" shrinkToFit="1"/>
    </xf>
    <xf numFmtId="0" fontId="0" fillId="0" borderId="13" xfId="0" applyFill="1" applyBorder="1" applyAlignment="1" applyProtection="1">
      <alignment vertical="center" shrinkToFit="1"/>
    </xf>
    <xf numFmtId="0" fontId="0" fillId="0" borderId="51" xfId="0" applyBorder="1" applyAlignment="1" applyProtection="1">
      <alignment vertical="center"/>
    </xf>
    <xf numFmtId="0" fontId="0" fillId="0" borderId="1" xfId="0" applyBorder="1" applyAlignment="1" applyProtection="1">
      <alignment horizontal="center" vertical="center" shrinkToFit="1"/>
    </xf>
    <xf numFmtId="0" fontId="16" fillId="0" borderId="33" xfId="0" applyFont="1" applyBorder="1" applyAlignment="1" applyProtection="1">
      <alignment horizontal="center" vertical="center"/>
    </xf>
    <xf numFmtId="0" fontId="13" fillId="0" borderId="33" xfId="0" applyFont="1" applyBorder="1" applyAlignment="1" applyProtection="1">
      <alignment horizontal="center" vertical="center"/>
    </xf>
    <xf numFmtId="0" fontId="13" fillId="0" borderId="34" xfId="0" applyFont="1" applyBorder="1" applyAlignment="1" applyProtection="1">
      <alignment horizontal="center" vertical="center"/>
    </xf>
    <xf numFmtId="0" fontId="16" fillId="0" borderId="32" xfId="0" applyFont="1" applyBorder="1" applyAlignment="1" applyProtection="1">
      <alignment horizontal="right" vertical="center"/>
    </xf>
    <xf numFmtId="0" fontId="0" fillId="0" borderId="33" xfId="0" applyBorder="1" applyAlignment="1" applyProtection="1">
      <alignment horizontal="right" vertical="center"/>
    </xf>
    <xf numFmtId="0" fontId="16" fillId="0" borderId="5" xfId="0" applyFont="1" applyBorder="1" applyAlignment="1" applyProtection="1">
      <alignment vertical="center"/>
    </xf>
    <xf numFmtId="0" fontId="16" fillId="0" borderId="32" xfId="0" applyFont="1" applyFill="1" applyBorder="1" applyAlignment="1" applyProtection="1">
      <alignment horizontal="right" vertical="center"/>
    </xf>
    <xf numFmtId="0" fontId="0" fillId="0" borderId="56" xfId="0" applyBorder="1" applyAlignment="1" applyProtection="1">
      <alignment vertical="center"/>
    </xf>
    <xf numFmtId="0" fontId="0" fillId="0" borderId="57" xfId="0" applyBorder="1" applyAlignment="1" applyProtection="1">
      <alignment vertical="center"/>
    </xf>
    <xf numFmtId="0" fontId="0" fillId="0" borderId="59" xfId="0" applyBorder="1" applyAlignment="1" applyProtection="1">
      <alignment vertical="center"/>
    </xf>
    <xf numFmtId="0" fontId="16" fillId="0" borderId="60" xfId="0" applyFont="1" applyBorder="1" applyAlignment="1" applyProtection="1">
      <alignment vertical="center"/>
    </xf>
    <xf numFmtId="0" fontId="0" fillId="0" borderId="61" xfId="0" applyBorder="1" applyAlignment="1" applyProtection="1">
      <alignment vertical="center"/>
    </xf>
    <xf numFmtId="0" fontId="0" fillId="0" borderId="62" xfId="0" applyBorder="1" applyAlignment="1" applyProtection="1">
      <alignment vertical="center"/>
    </xf>
    <xf numFmtId="0" fontId="16" fillId="6" borderId="7" xfId="0" applyFont="1" applyFill="1" applyBorder="1" applyAlignment="1" applyProtection="1">
      <alignment horizontal="left" vertical="center"/>
      <protection locked="0"/>
    </xf>
    <xf numFmtId="0" fontId="0" fillId="6" borderId="8" xfId="0"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6" xfId="0" applyBorder="1" applyAlignment="1" applyProtection="1">
      <alignment horizontal="left" vertical="center"/>
      <protection locked="0"/>
    </xf>
    <xf numFmtId="180" fontId="16" fillId="6" borderId="1" xfId="0" applyNumberFormat="1" applyFont="1" applyFill="1" applyBorder="1" applyAlignment="1" applyProtection="1">
      <alignment vertical="center"/>
      <protection locked="0"/>
    </xf>
    <xf numFmtId="180" fontId="0" fillId="6" borderId="1" xfId="0" applyNumberFormat="1" applyFill="1" applyBorder="1" applyAlignment="1" applyProtection="1">
      <alignment vertical="center"/>
      <protection locked="0"/>
    </xf>
    <xf numFmtId="0" fontId="16" fillId="0" borderId="32" xfId="0" applyFont="1" applyBorder="1" applyAlignment="1" applyProtection="1">
      <alignment horizontal="center" vertical="center" shrinkToFit="1"/>
    </xf>
    <xf numFmtId="0" fontId="0" fillId="0" borderId="33" xfId="0" applyBorder="1" applyAlignment="1" applyProtection="1">
      <alignment horizontal="center" vertical="center" shrinkToFit="1"/>
    </xf>
    <xf numFmtId="0" fontId="0" fillId="6" borderId="1" xfId="0" applyFill="1"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16" fillId="6" borderId="54" xfId="0" applyFont="1" applyFill="1" applyBorder="1" applyAlignment="1" applyProtection="1">
      <alignment horizontal="left" vertical="center" shrinkToFit="1"/>
      <protection locked="0"/>
    </xf>
    <xf numFmtId="0" fontId="0" fillId="6" borderId="54" xfId="0" applyFill="1" applyBorder="1" applyAlignment="1" applyProtection="1">
      <alignment horizontal="left" vertical="center" shrinkToFit="1"/>
      <protection locked="0"/>
    </xf>
    <xf numFmtId="0" fontId="0" fillId="0" borderId="54" xfId="0" applyBorder="1" applyAlignment="1" applyProtection="1">
      <alignment horizontal="left" vertical="center" shrinkToFit="1"/>
      <protection locked="0"/>
    </xf>
    <xf numFmtId="0" fontId="9" fillId="6" borderId="1" xfId="0" applyFont="1" applyFill="1" applyBorder="1" applyAlignment="1" applyProtection="1">
      <alignment horizontal="left" vertical="center" shrinkToFit="1"/>
      <protection locked="0"/>
    </xf>
    <xf numFmtId="0" fontId="9" fillId="6" borderId="54" xfId="0" applyFont="1" applyFill="1" applyBorder="1" applyAlignment="1" applyProtection="1">
      <alignment horizontal="left" vertical="center" shrinkToFit="1"/>
      <protection locked="0"/>
    </xf>
    <xf numFmtId="179" fontId="20" fillId="6" borderId="2" xfId="2" applyNumberFormat="1" applyFont="1" applyFill="1" applyBorder="1" applyAlignment="1" applyProtection="1">
      <alignment horizontal="left" vertical="center" shrinkToFit="1"/>
      <protection locked="0"/>
    </xf>
    <xf numFmtId="179" fontId="0" fillId="6" borderId="3" xfId="0" applyNumberFormat="1" applyFill="1" applyBorder="1" applyAlignment="1" applyProtection="1">
      <alignment horizontal="left" vertical="center" shrinkToFit="1"/>
      <protection locked="0"/>
    </xf>
    <xf numFmtId="179" fontId="0" fillId="6" borderId="4" xfId="0" applyNumberFormat="1" applyFill="1" applyBorder="1" applyAlignment="1" applyProtection="1">
      <alignment horizontal="left" vertical="center" shrinkToFit="1"/>
      <protection locked="0"/>
    </xf>
    <xf numFmtId="0" fontId="20" fillId="0" borderId="0" xfId="2" applyFont="1" applyAlignment="1" applyProtection="1">
      <alignment horizontal="right" vertical="center" shrinkToFit="1"/>
    </xf>
    <xf numFmtId="0" fontId="20" fillId="0" borderId="0" xfId="2" applyFont="1" applyAlignment="1" applyProtection="1">
      <alignment vertical="center" shrinkToFit="1"/>
    </xf>
    <xf numFmtId="0" fontId="20" fillId="0" borderId="2" xfId="2" applyFont="1" applyBorder="1" applyAlignment="1" applyProtection="1">
      <alignment horizontal="center" vertical="center"/>
    </xf>
    <xf numFmtId="0" fontId="20" fillId="0" borderId="2" xfId="2" applyFont="1" applyBorder="1" applyAlignment="1" applyProtection="1">
      <alignment vertical="center" wrapText="1"/>
    </xf>
    <xf numFmtId="0" fontId="0" fillId="0" borderId="2" xfId="0" applyBorder="1" applyAlignment="1" applyProtection="1">
      <alignment vertical="center" wrapText="1"/>
    </xf>
    <xf numFmtId="0" fontId="0" fillId="0" borderId="3" xfId="0" applyBorder="1" applyAlignment="1" applyProtection="1">
      <alignment vertical="center" wrapText="1"/>
    </xf>
    <xf numFmtId="0" fontId="0" fillId="0" borderId="4" xfId="0" applyBorder="1" applyAlignment="1" applyProtection="1">
      <alignment vertical="center" wrapText="1"/>
    </xf>
    <xf numFmtId="0" fontId="20" fillId="0" borderId="1" xfId="2" applyFont="1" applyBorder="1" applyAlignment="1" applyProtection="1">
      <alignment horizontal="center" vertical="center"/>
    </xf>
    <xf numFmtId="0" fontId="20" fillId="6" borderId="2" xfId="2" applyFont="1" applyFill="1" applyBorder="1" applyAlignment="1" applyProtection="1">
      <alignment vertical="center" wrapText="1" shrinkToFit="1"/>
      <protection locked="0"/>
    </xf>
    <xf numFmtId="0" fontId="0" fillId="6" borderId="3" xfId="0" applyFill="1" applyBorder="1" applyAlignment="1" applyProtection="1">
      <alignment vertical="center" wrapText="1" shrinkToFit="1"/>
      <protection locked="0"/>
    </xf>
    <xf numFmtId="0" fontId="0" fillId="6" borderId="4" xfId="0" applyFill="1" applyBorder="1" applyAlignment="1" applyProtection="1">
      <alignment vertical="center" wrapText="1" shrinkToFit="1"/>
      <protection locked="0"/>
    </xf>
    <xf numFmtId="0" fontId="20" fillId="0" borderId="1" xfId="2" applyFont="1" applyBorder="1" applyAlignment="1" applyProtection="1">
      <alignment horizontal="center" vertical="center" shrinkToFit="1"/>
    </xf>
    <xf numFmtId="0" fontId="20" fillId="0" borderId="0" xfId="2" applyFont="1" applyAlignment="1" applyProtection="1">
      <alignment horizontal="distributed" vertical="center"/>
    </xf>
    <xf numFmtId="0" fontId="20" fillId="0" borderId="6" xfId="2" applyFont="1" applyBorder="1" applyAlignment="1" applyProtection="1">
      <alignment horizontal="center" vertical="center" shrinkToFit="1"/>
    </xf>
    <xf numFmtId="0" fontId="20" fillId="0" borderId="7" xfId="2" applyFont="1" applyBorder="1" applyAlignment="1" applyProtection="1">
      <alignment horizontal="center" vertical="center" shrinkToFit="1"/>
    </xf>
    <xf numFmtId="0" fontId="20" fillId="6" borderId="2" xfId="2" applyFont="1" applyFill="1" applyBorder="1" applyAlignment="1" applyProtection="1">
      <alignment vertical="center" shrinkToFit="1"/>
      <protection locked="0"/>
    </xf>
    <xf numFmtId="0" fontId="0" fillId="6" borderId="3" xfId="0" applyFill="1" applyBorder="1" applyAlignment="1" applyProtection="1">
      <alignment vertical="center" shrinkToFit="1"/>
      <protection locked="0"/>
    </xf>
    <xf numFmtId="0" fontId="0" fillId="6" borderId="4" xfId="0" applyFill="1" applyBorder="1" applyAlignment="1" applyProtection="1">
      <alignment vertical="center" shrinkToFit="1"/>
      <protection locked="0"/>
    </xf>
    <xf numFmtId="0" fontId="21" fillId="0" borderId="0" xfId="2" applyFont="1" applyAlignment="1" applyProtection="1">
      <alignment horizontal="center" vertical="center"/>
    </xf>
    <xf numFmtId="0" fontId="17" fillId="0" borderId="0" xfId="0" applyFont="1" applyAlignment="1">
      <alignment horizontal="center" vertical="center"/>
    </xf>
    <xf numFmtId="0" fontId="9" fillId="0" borderId="0" xfId="0" applyFont="1" applyAlignment="1">
      <alignment horizontal="left" vertical="center" wrapText="1"/>
    </xf>
  </cellXfs>
  <cellStyles count="19">
    <cellStyle name="ハイパーリンク" xfId="1" builtinId="8"/>
    <cellStyle name="ハイパーリンク 2" xfId="17" xr:uid="{1DFA7B82-22D0-4680-8A2C-354C10EAC52F}"/>
    <cellStyle name="ハイパーリンク 3" xfId="8" xr:uid="{37D181F6-E7BF-4407-99D1-CE3E9D575FBE}"/>
    <cellStyle name="桁区切り" xfId="5" builtinId="6"/>
    <cellStyle name="桁区切り 2" xfId="3" xr:uid="{00000000-0005-0000-0000-000002000000}"/>
    <cellStyle name="桁区切り 3" xfId="7" xr:uid="{73BC0B68-C273-4A81-A439-27DD2BA8A846}"/>
    <cellStyle name="標準" xfId="0" builtinId="0"/>
    <cellStyle name="標準 2" xfId="2" xr:uid="{00000000-0005-0000-0000-000004000000}"/>
    <cellStyle name="標準 2 2" xfId="13" xr:uid="{082A6CEF-B6E8-428C-923B-72F94F20C717}"/>
    <cellStyle name="標準 2 2 2" xfId="15" xr:uid="{DD5744ED-4D69-4167-9E28-B607700611F1}"/>
    <cellStyle name="標準 2 3" xfId="16" xr:uid="{056CE773-CB41-4F6A-BF09-58A64887C12D}"/>
    <cellStyle name="標準 2 4" xfId="12" xr:uid="{C27E0C57-6FC1-4BA6-A761-D442358D92B8}"/>
    <cellStyle name="標準 2 5" xfId="4" xr:uid="{00000000-0005-0000-0000-000005000000}"/>
    <cellStyle name="標準 2 6" xfId="9" xr:uid="{3289ABD2-B3AF-4AC1-AB3E-0AEDF91CA7A2}"/>
    <cellStyle name="標準 3" xfId="6" xr:uid="{00000000-0005-0000-0000-000006000000}"/>
    <cellStyle name="標準 3 2" xfId="14" xr:uid="{26BAB389-8F90-4375-B6B3-1817989D5E3F}"/>
    <cellStyle name="標準 4" xfId="10" xr:uid="{AB4E5413-89D6-436B-BC30-AC990B93E9B5}"/>
    <cellStyle name="標準 5" xfId="11" xr:uid="{A7062884-9674-4F9E-AD7B-EBD7D020BBE0}"/>
    <cellStyle name="標準 6" xfId="18" xr:uid="{ADB8E3A2-574F-4199-89A5-2E8E2B5E642B}"/>
  </cellStyles>
  <dxfs count="6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AN$3" lockText="1" noThreeD="1"/>
</file>

<file path=xl/ctrlProps/ctrlProp2.xml><?xml version="1.0" encoding="utf-8"?>
<formControlPr xmlns="http://schemas.microsoft.com/office/spreadsheetml/2009/9/main" objectType="CheckBox" fmlaLink="$AN$4" lockText="1" noThreeD="1"/>
</file>

<file path=xl/ctrlProps/ctrlProp3.xml><?xml version="1.0" encoding="utf-8"?>
<formControlPr xmlns="http://schemas.microsoft.com/office/spreadsheetml/2009/9/main" objectType="CheckBox" fmlaLink="$AN$5" lockText="1" noThreeD="1"/>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xdr:row>
          <xdr:rowOff>57150</xdr:rowOff>
        </xdr:from>
        <xdr:to>
          <xdr:col>7</xdr:col>
          <xdr:colOff>333375</xdr:colOff>
          <xdr:row>2</xdr:row>
          <xdr:rowOff>266700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xdr:row>
          <xdr:rowOff>76200</xdr:rowOff>
        </xdr:from>
        <xdr:to>
          <xdr:col>7</xdr:col>
          <xdr:colOff>333375</xdr:colOff>
          <xdr:row>3</xdr:row>
          <xdr:rowOff>304800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xdr:row>
          <xdr:rowOff>38100</xdr:rowOff>
        </xdr:from>
        <xdr:to>
          <xdr:col>7</xdr:col>
          <xdr:colOff>428625</xdr:colOff>
          <xdr:row>4</xdr:row>
          <xdr:rowOff>266700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217714</xdr:colOff>
      <xdr:row>45</xdr:row>
      <xdr:rowOff>174624</xdr:rowOff>
    </xdr:from>
    <xdr:to>
      <xdr:col>30</xdr:col>
      <xdr:colOff>104321</xdr:colOff>
      <xdr:row>54</xdr:row>
      <xdr:rowOff>54428</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578428" y="11196410"/>
          <a:ext cx="6690179" cy="19616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p>
        <a:p>
          <a:r>
            <a:rPr kumimoji="1" lang="ja-JP" altLang="en-US" sz="1800"/>
            <a:t>　　</a:t>
          </a:r>
          <a:r>
            <a:rPr kumimoji="1" lang="en-US" altLang="ja-JP" sz="1800"/>
            <a:t>【</a:t>
          </a:r>
          <a:r>
            <a:rPr kumimoji="1" lang="ja-JP" altLang="en-US" sz="1800"/>
            <a:t>郵送先</a:t>
          </a:r>
          <a:r>
            <a:rPr kumimoji="1" lang="en-US" altLang="ja-JP" sz="1800"/>
            <a:t>】</a:t>
          </a:r>
        </a:p>
        <a:p>
          <a:r>
            <a:rPr kumimoji="1" lang="ja-JP" altLang="en-US" sz="1800"/>
            <a:t>　　　〒４６０－０００１</a:t>
          </a:r>
          <a:endParaRPr kumimoji="1" lang="en-US" altLang="ja-JP" sz="1800"/>
        </a:p>
        <a:p>
          <a:r>
            <a:rPr kumimoji="1" lang="ja-JP" altLang="en-US" sz="1800"/>
            <a:t>　　　名古屋市中区三の丸３－１－２</a:t>
          </a:r>
          <a:endParaRPr kumimoji="1" lang="en-US" altLang="ja-JP" sz="1800"/>
        </a:p>
        <a:p>
          <a:r>
            <a:rPr kumimoji="1" lang="ja-JP" altLang="en-US" sz="1800"/>
            <a:t>　　　感染症対策課感染症対策助成グループ　宛</a:t>
          </a:r>
        </a:p>
      </xdr:txBody>
    </xdr:sp>
    <xdr:clientData/>
  </xdr:twoCellAnchor>
  <xdr:twoCellAnchor>
    <xdr:from>
      <xdr:col>0</xdr:col>
      <xdr:colOff>149679</xdr:colOff>
      <xdr:row>6</xdr:row>
      <xdr:rowOff>217715</xdr:rowOff>
    </xdr:from>
    <xdr:to>
      <xdr:col>12</xdr:col>
      <xdr:colOff>149679</xdr:colOff>
      <xdr:row>17</xdr:row>
      <xdr:rowOff>20411</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49679" y="1673679"/>
          <a:ext cx="3265714" cy="2347232"/>
        </a:xfrm>
        <a:prstGeom prst="rect">
          <a:avLst/>
        </a:prstGeom>
        <a:solidFill>
          <a:schemeClr val="accent4">
            <a:lumMod val="20000"/>
            <a:lumOff val="80000"/>
          </a:schemeClr>
        </a:solidFill>
        <a:ln w="15875" cmpd="dbl">
          <a:solidFill>
            <a:schemeClr val="accent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600" b="0">
              <a:latin typeface="ＭＳ ゴシック" panose="020B0609070205080204" pitchFamily="49" charset="-128"/>
              <a:ea typeface="ＭＳ ゴシック" panose="020B0609070205080204" pitchFamily="49" charset="-128"/>
            </a:rPr>
            <a:t>「はじめに入力してください」シートに入力した内容が自動表示されますので、本シートは入力　不要です。</a:t>
          </a:r>
          <a:endParaRPr kumimoji="1" lang="en-US" altLang="ja-JP" sz="1600" b="0">
            <a:latin typeface="ＭＳ ゴシック" panose="020B0609070205080204" pitchFamily="49" charset="-128"/>
            <a:ea typeface="ＭＳ ゴシック" panose="020B0609070205080204" pitchFamily="49" charset="-128"/>
          </a:endParaRPr>
        </a:p>
        <a:p>
          <a:pPr algn="just"/>
          <a:endParaRPr kumimoji="1" lang="en-US" altLang="ja-JP" sz="1600" b="0">
            <a:latin typeface="ＭＳ ゴシック" panose="020B0609070205080204" pitchFamily="49" charset="-128"/>
            <a:ea typeface="ＭＳ ゴシック" panose="020B0609070205080204" pitchFamily="49" charset="-128"/>
          </a:endParaRPr>
        </a:p>
        <a:p>
          <a:pPr algn="just"/>
          <a:r>
            <a:rPr kumimoji="1" lang="ja-JP" altLang="en-US" sz="1600" b="0">
              <a:latin typeface="ＭＳ ゴシック" panose="020B0609070205080204" pitchFamily="49" charset="-128"/>
              <a:ea typeface="ＭＳ ゴシック" panose="020B0609070205080204" pitchFamily="49" charset="-128"/>
            </a:rPr>
            <a:t>また、申請額は関係シートに経費情報が入力されると自動で表示　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38</xdr:col>
      <xdr:colOff>31297</xdr:colOff>
      <xdr:row>48</xdr:row>
      <xdr:rowOff>205468</xdr:rowOff>
    </xdr:from>
    <xdr:to>
      <xdr:col>41</xdr:col>
      <xdr:colOff>307522</xdr:colOff>
      <xdr:row>55</xdr:row>
      <xdr:rowOff>167368</xdr:rowOff>
    </xdr:to>
    <xdr:pic>
      <xdr:nvPicPr>
        <xdr:cNvPr id="3" name="図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16826" y="10035268"/>
          <a:ext cx="2251982" cy="233498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20</xdr:col>
          <xdr:colOff>107422</xdr:colOff>
          <xdr:row>12</xdr:row>
          <xdr:rowOff>95250</xdr:rowOff>
        </xdr:from>
        <xdr:to>
          <xdr:col>21</xdr:col>
          <xdr:colOff>428625</xdr:colOff>
          <xdr:row>16</xdr:row>
          <xdr:rowOff>161924</xdr:rowOff>
        </xdr:to>
        <xdr:pic>
          <xdr:nvPicPr>
            <xdr:cNvPr id="4" name="図 3">
              <a:extLst>
                <a:ext uri="{FF2B5EF4-FFF2-40B4-BE49-F238E27FC236}">
                  <a16:creationId xmlns:a16="http://schemas.microsoft.com/office/drawing/2014/main" id="{00000000-0008-0000-0500-000004000000}"/>
                </a:ext>
              </a:extLst>
            </xdr:cNvPr>
            <xdr:cNvPicPr>
              <a:picLocks noChangeAspect="1" noChangeArrowheads="1"/>
              <a:extLst>
                <a:ext uri="{84589F7E-364E-4C9E-8A38-B11213B215E9}">
                  <a14:cameraTool cellRange="$AM$50:$AP$56" spid="_x0000_s19008"/>
                </a:ext>
              </a:extLst>
            </xdr:cNvPicPr>
          </xdr:nvPicPr>
          <xdr:blipFill>
            <a:blip xmlns:r="http://schemas.openxmlformats.org/officeDocument/2006/relationships" r:embed="rId2"/>
            <a:srcRect/>
            <a:stretch>
              <a:fillRect/>
            </a:stretch>
          </xdr:blipFill>
          <xdr:spPr bwMode="auto">
            <a:xfrm>
              <a:off x="6632047" y="2543175"/>
              <a:ext cx="1092728" cy="1123949"/>
            </a:xfrm>
            <a:prstGeom prst="rect">
              <a:avLst/>
            </a:prstGeom>
            <a:noFill/>
            <a:ln w="9525">
              <a:no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73025</xdr:colOff>
      <xdr:row>8</xdr:row>
      <xdr:rowOff>125638</xdr:rowOff>
    </xdr:from>
    <xdr:to>
      <xdr:col>18</xdr:col>
      <xdr:colOff>196708</xdr:colOff>
      <xdr:row>21</xdr:row>
      <xdr:rowOff>154213</xdr:rowOff>
    </xdr:to>
    <xdr:pic>
      <xdr:nvPicPr>
        <xdr:cNvPr id="6" name="図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25" y="2030638"/>
          <a:ext cx="5185540" cy="3212647"/>
        </a:xfrm>
        <a:prstGeom prst="rect">
          <a:avLst/>
        </a:prstGeom>
        <a:ln>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247650</xdr:colOff>
      <xdr:row>8</xdr:row>
      <xdr:rowOff>133350</xdr:rowOff>
    </xdr:from>
    <xdr:to>
      <xdr:col>18</xdr:col>
      <xdr:colOff>64615</xdr:colOff>
      <xdr:row>20</xdr:row>
      <xdr:rowOff>0</xdr:rowOff>
    </xdr:to>
    <xdr:pic>
      <xdr:nvPicPr>
        <xdr:cNvPr id="2" name="図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247650" y="1981200"/>
          <a:ext cx="4960465" cy="3752850"/>
        </a:xfrm>
        <a:prstGeom prst="rect">
          <a:avLst/>
        </a:prstGeom>
        <a:ln>
          <a:solidFill>
            <a:schemeClr val="tx1"/>
          </a:solid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174625</xdr:colOff>
      <xdr:row>0</xdr:row>
      <xdr:rowOff>158750</xdr:rowOff>
    </xdr:from>
    <xdr:to>
      <xdr:col>9</xdr:col>
      <xdr:colOff>206375</xdr:colOff>
      <xdr:row>13</xdr:row>
      <xdr:rowOff>47625</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6287750" y="158750"/>
          <a:ext cx="2762250" cy="352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申請（または事前協議）内容の審査の結果、補正等が必要である場合、本シートに指摘事項を記載の上、データをメールにてお送りします。</a:t>
          </a:r>
          <a:endParaRPr kumimoji="1" lang="en-US" altLang="ja-JP" sz="1400" b="1">
            <a:solidFill>
              <a:srgbClr val="FF0000"/>
            </a:solidFill>
          </a:endParaRPr>
        </a:p>
        <a:p>
          <a:r>
            <a:rPr kumimoji="1" lang="ja-JP" altLang="en-US" sz="1400" b="1">
              <a:solidFill>
                <a:srgbClr val="FF0000"/>
              </a:solidFill>
            </a:rPr>
            <a:t>内容を確認の上、申請（または事前協議）内容を修正し、対応内容につき個別の指摘事項の右欄（回答欄）に対応内容を記載し、県からのメールあて返信によりご回答ください。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U35"/>
  <sheetViews>
    <sheetView topLeftCell="A10" zoomScale="190" zoomScaleNormal="190" workbookViewId="0">
      <selection activeCell="D12" sqref="D12"/>
    </sheetView>
  </sheetViews>
  <sheetFormatPr defaultColWidth="9" defaultRowHeight="9.75" x14ac:dyDescent="0.4"/>
  <cols>
    <col min="1" max="1" width="6.625" style="23" customWidth="1"/>
    <col min="2" max="2" width="15.625" style="24" customWidth="1"/>
    <col min="3" max="15" width="8.625" style="23" customWidth="1"/>
    <col min="16" max="16" width="3.625" style="58" customWidth="1"/>
    <col min="17" max="17" width="8.625" style="23" customWidth="1"/>
    <col min="18" max="18" width="3.625" style="58" customWidth="1"/>
    <col min="19" max="20" width="8.625" style="23" customWidth="1"/>
    <col min="21" max="21" width="3.625" style="58" customWidth="1"/>
    <col min="22" max="50" width="8.625" style="23" customWidth="1"/>
    <col min="51" max="51" width="20.625" style="23" customWidth="1"/>
    <col min="52" max="52" width="9" style="23"/>
    <col min="53" max="53" width="60.625" style="23" customWidth="1"/>
    <col min="54" max="16384" width="9" style="23"/>
  </cols>
  <sheetData>
    <row r="3" spans="2:5" ht="15" customHeight="1" x14ac:dyDescent="0.4">
      <c r="B3" s="25" t="s">
        <v>238</v>
      </c>
      <c r="D3" s="23" t="s">
        <v>102</v>
      </c>
    </row>
    <row r="4" spans="2:5" ht="15" customHeight="1" x14ac:dyDescent="0.4">
      <c r="D4" s="23" t="s">
        <v>104</v>
      </c>
    </row>
    <row r="5" spans="2:5" ht="15" customHeight="1" x14ac:dyDescent="0.4">
      <c r="D5" s="23" t="s">
        <v>103</v>
      </c>
    </row>
    <row r="6" spans="2:5" ht="15" customHeight="1" x14ac:dyDescent="0.4">
      <c r="D6" s="23" t="s">
        <v>111</v>
      </c>
    </row>
    <row r="7" spans="2:5" ht="15" customHeight="1" x14ac:dyDescent="0.4">
      <c r="D7" s="23" t="s">
        <v>168</v>
      </c>
    </row>
    <row r="8" spans="2:5" ht="15" customHeight="1" x14ac:dyDescent="0.4">
      <c r="D8" s="23" t="s">
        <v>238</v>
      </c>
    </row>
    <row r="9" spans="2:5" ht="15" customHeight="1" x14ac:dyDescent="0.4">
      <c r="B9" s="85" t="s">
        <v>144</v>
      </c>
      <c r="C9" s="86" t="s">
        <v>141</v>
      </c>
      <c r="D9" s="86" t="s">
        <v>142</v>
      </c>
      <c r="E9" s="86" t="s">
        <v>143</v>
      </c>
    </row>
    <row r="10" spans="2:5" ht="15" customHeight="1" x14ac:dyDescent="0.4">
      <c r="B10" s="81" t="s">
        <v>138</v>
      </c>
      <c r="C10" s="82">
        <v>2023</v>
      </c>
      <c r="D10" s="82">
        <v>7</v>
      </c>
      <c r="E10" s="82">
        <v>12</v>
      </c>
    </row>
    <row r="11" spans="2:5" ht="15" customHeight="1" x14ac:dyDescent="0.4">
      <c r="B11" s="81" t="s">
        <v>139</v>
      </c>
      <c r="C11" s="83">
        <v>2023</v>
      </c>
      <c r="D11" s="83">
        <v>8</v>
      </c>
      <c r="E11" s="83">
        <v>14</v>
      </c>
    </row>
    <row r="12" spans="2:5" ht="15" customHeight="1" x14ac:dyDescent="0.4">
      <c r="B12" s="81" t="s">
        <v>136</v>
      </c>
      <c r="C12" s="82">
        <v>2023</v>
      </c>
      <c r="D12" s="82">
        <v>2</v>
      </c>
      <c r="E12" s="82">
        <v>6</v>
      </c>
    </row>
    <row r="13" spans="2:5" ht="15" customHeight="1" x14ac:dyDescent="0.4">
      <c r="B13" s="81" t="s">
        <v>137</v>
      </c>
      <c r="C13" s="82">
        <v>2023</v>
      </c>
      <c r="D13" s="82">
        <v>2</v>
      </c>
      <c r="E13" s="82">
        <v>17</v>
      </c>
    </row>
    <row r="14" spans="2:5" ht="15" customHeight="1" x14ac:dyDescent="0.4">
      <c r="B14" s="84" t="s">
        <v>9</v>
      </c>
      <c r="C14" s="82">
        <f>IF(はじめに入力してください!I12=4,2022,IF(はじめに入力してください!I12=5,2023,2022))</f>
        <v>2022</v>
      </c>
      <c r="D14" s="82">
        <f>IF(はじめに入力してください!K12="",4,はじめに入力してください!K12)</f>
        <v>4</v>
      </c>
      <c r="E14" s="82">
        <f>IF(はじめに入力してください!M12="",1,はじめに入力してください!M12)</f>
        <v>1</v>
      </c>
    </row>
    <row r="15" spans="2:5" ht="15" customHeight="1" x14ac:dyDescent="0.4">
      <c r="B15" s="81" t="s">
        <v>155</v>
      </c>
      <c r="C15" s="82" t="e">
        <f ca="1">IFERROR(VLOOKUP(MAX(額内訳書!AE6:AE10),額内訳書!AH:AK,2,FALSE),C16)</f>
        <v>#REF!</v>
      </c>
      <c r="D15" s="82" t="e">
        <f ca="1">IFERROR(VLOOKUP(MAX(額内訳書!AE6:AE10),額内訳書!AH:AK,3,FALSE),D16)</f>
        <v>#REF!</v>
      </c>
      <c r="E15" s="82" t="e">
        <f ca="1">IFERROR(VLOOKUP(MAX(額内訳書!AE6:AE10),額内訳書!AH:AK,4,FALSE),E16)</f>
        <v>#REF!</v>
      </c>
    </row>
    <row r="16" spans="2:5" ht="15" customHeight="1" x14ac:dyDescent="0.4">
      <c r="B16" s="81" t="s">
        <v>107</v>
      </c>
      <c r="C16" s="82" t="e">
        <f>VLOOKUP(はじめに入力してください!#REF!,#REF!,59,FALSE)</f>
        <v>#REF!</v>
      </c>
      <c r="D16" s="82" t="e">
        <f>VLOOKUP(はじめに入力してください!#REF!,#REF!,60,FALSE)</f>
        <v>#REF!</v>
      </c>
      <c r="E16" s="82" t="e">
        <f>VLOOKUP(はじめに入力してください!#REF!,#REF!,61,FALSE)</f>
        <v>#REF!</v>
      </c>
    </row>
    <row r="17" spans="2:5" ht="15" customHeight="1" x14ac:dyDescent="0.4">
      <c r="B17" s="81" t="s">
        <v>145</v>
      </c>
      <c r="C17" s="86">
        <v>2022</v>
      </c>
      <c r="D17" s="86">
        <v>10</v>
      </c>
      <c r="E17" s="86">
        <v>1</v>
      </c>
    </row>
    <row r="18" spans="2:5" ht="15" customHeight="1" x14ac:dyDescent="0.4">
      <c r="B18" s="81" t="s">
        <v>108</v>
      </c>
      <c r="C18" s="82">
        <v>2023</v>
      </c>
      <c r="D18" s="82">
        <v>3</v>
      </c>
      <c r="E18" s="82">
        <v>31</v>
      </c>
    </row>
    <row r="19" spans="2:5" ht="15" customHeight="1" x14ac:dyDescent="0.4"/>
    <row r="20" spans="2:5" ht="15" customHeight="1" x14ac:dyDescent="0.4">
      <c r="B20" s="88" t="s">
        <v>146</v>
      </c>
      <c r="C20" s="86">
        <v>5</v>
      </c>
    </row>
    <row r="21" spans="2:5" ht="15" customHeight="1" x14ac:dyDescent="0.4">
      <c r="B21" s="88"/>
      <c r="C21" s="86"/>
    </row>
    <row r="22" spans="2:5" ht="15" customHeight="1" x14ac:dyDescent="0.4"/>
    <row r="23" spans="2:5" ht="15" customHeight="1" x14ac:dyDescent="0.4">
      <c r="B23" s="87" t="s">
        <v>153</v>
      </c>
      <c r="C23" s="94" t="s">
        <v>96</v>
      </c>
    </row>
    <row r="24" spans="2:5" ht="15" customHeight="1" x14ac:dyDescent="0.4">
      <c r="B24" s="87"/>
      <c r="C24" s="94" t="s">
        <v>97</v>
      </c>
    </row>
    <row r="25" spans="2:5" ht="15" customHeight="1" x14ac:dyDescent="0.4"/>
    <row r="26" spans="2:5" ht="15" customHeight="1" x14ac:dyDescent="0.4"/>
    <row r="27" spans="2:5" ht="15" customHeight="1" x14ac:dyDescent="0.4"/>
    <row r="28" spans="2:5" ht="15" customHeight="1" x14ac:dyDescent="0.4"/>
    <row r="29" spans="2:5" ht="15" customHeight="1" x14ac:dyDescent="0.4"/>
    <row r="30" spans="2:5" ht="15" customHeight="1" x14ac:dyDescent="0.4"/>
    <row r="31" spans="2:5" ht="15" customHeight="1" x14ac:dyDescent="0.4"/>
    <row r="32" spans="2:5" ht="15" customHeight="1" x14ac:dyDescent="0.4"/>
    <row r="33" ht="15" customHeight="1" x14ac:dyDescent="0.4"/>
    <row r="34" ht="15" customHeight="1" x14ac:dyDescent="0.4"/>
    <row r="35" ht="15" customHeight="1" x14ac:dyDescent="0.4"/>
  </sheetData>
  <phoneticPr fontId="1"/>
  <dataValidations count="1">
    <dataValidation type="list" allowBlank="1" showInputMessage="1" showErrorMessage="1" sqref="B3" xr:uid="{00000000-0002-0000-0000-000000000000}">
      <formula1>$D$3:$D$8</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4F7AB-B6B3-4628-BA15-8EE6B89FCC33}">
  <sheetPr>
    <tabColor theme="5" tint="0.39997558519241921"/>
    <pageSetUpPr fitToPage="1"/>
  </sheetPr>
  <dimension ref="A1:BR53"/>
  <sheetViews>
    <sheetView showGridLines="0" view="pageBreakPreview" zoomScale="50" zoomScaleNormal="50" zoomScaleSheetLayoutView="50" workbookViewId="0">
      <selection activeCell="AZ4" sqref="AZ4:AZ5"/>
    </sheetView>
  </sheetViews>
  <sheetFormatPr defaultColWidth="9" defaultRowHeight="18" x14ac:dyDescent="0.4"/>
  <cols>
    <col min="1" max="48" width="3.625" style="223" customWidth="1"/>
    <col min="49" max="16384" width="9" style="223"/>
  </cols>
  <sheetData>
    <row r="1" spans="1:52" x14ac:dyDescent="0.4">
      <c r="A1" s="225">
        <v>1</v>
      </c>
      <c r="B1" s="225">
        <v>2</v>
      </c>
      <c r="C1" s="225">
        <v>3</v>
      </c>
      <c r="D1" s="225">
        <v>4</v>
      </c>
      <c r="E1" s="225">
        <v>5</v>
      </c>
      <c r="F1" s="225">
        <v>6</v>
      </c>
      <c r="G1" s="225">
        <v>7</v>
      </c>
      <c r="H1" s="225">
        <v>8</v>
      </c>
      <c r="I1" s="225">
        <v>9</v>
      </c>
      <c r="J1" s="225">
        <v>10</v>
      </c>
      <c r="K1" s="225">
        <v>11</v>
      </c>
      <c r="L1" s="225">
        <v>12</v>
      </c>
      <c r="M1" s="225">
        <v>13</v>
      </c>
      <c r="N1" s="225">
        <v>14</v>
      </c>
      <c r="O1" s="225">
        <v>15</v>
      </c>
      <c r="P1" s="225">
        <v>16</v>
      </c>
      <c r="Q1" s="225">
        <v>17</v>
      </c>
      <c r="R1" s="225">
        <v>18</v>
      </c>
      <c r="S1" s="225">
        <v>19</v>
      </c>
      <c r="T1" s="225">
        <v>20</v>
      </c>
      <c r="U1" s="225">
        <v>21</v>
      </c>
      <c r="V1" s="225">
        <v>22</v>
      </c>
      <c r="W1" s="225">
        <v>23</v>
      </c>
      <c r="X1" s="225">
        <v>24</v>
      </c>
      <c r="Y1" s="225">
        <v>25</v>
      </c>
      <c r="Z1" s="225">
        <v>26</v>
      </c>
      <c r="AA1" s="225">
        <v>27</v>
      </c>
      <c r="AB1" s="225">
        <v>28</v>
      </c>
      <c r="AC1" s="225">
        <v>29</v>
      </c>
      <c r="AD1" s="225">
        <v>30</v>
      </c>
      <c r="AE1" s="225">
        <v>31</v>
      </c>
      <c r="AF1" s="225">
        <v>32</v>
      </c>
      <c r="AG1" s="225">
        <v>33</v>
      </c>
      <c r="AH1" s="225">
        <v>34</v>
      </c>
      <c r="AI1" s="225">
        <v>35</v>
      </c>
      <c r="AJ1" s="225">
        <v>36</v>
      </c>
      <c r="AK1" s="225">
        <v>37</v>
      </c>
      <c r="AL1" s="225">
        <v>38</v>
      </c>
      <c r="AM1" s="225">
        <v>39</v>
      </c>
      <c r="AN1" s="225">
        <v>40</v>
      </c>
      <c r="AO1" s="225">
        <v>41</v>
      </c>
      <c r="AP1" s="225">
        <v>42</v>
      </c>
      <c r="AQ1" s="225">
        <v>43</v>
      </c>
      <c r="AR1" s="225">
        <v>44</v>
      </c>
      <c r="AS1" s="225">
        <v>45</v>
      </c>
      <c r="AT1" s="225">
        <v>46</v>
      </c>
      <c r="AU1" s="225">
        <v>47</v>
      </c>
      <c r="AV1" s="225">
        <v>48</v>
      </c>
    </row>
    <row r="2" spans="1:52" ht="24.95" customHeight="1" x14ac:dyDescent="0.4"/>
    <row r="3" spans="1:52" ht="18" customHeight="1" x14ac:dyDescent="0.4">
      <c r="B3" s="531" t="s">
        <v>205</v>
      </c>
      <c r="C3" s="531"/>
      <c r="D3" s="531"/>
      <c r="E3" s="531"/>
      <c r="F3" s="531"/>
      <c r="G3" s="531"/>
      <c r="H3" s="531"/>
      <c r="I3" s="531"/>
      <c r="J3" s="531"/>
      <c r="K3" s="531"/>
      <c r="L3" s="531"/>
      <c r="M3" s="531"/>
      <c r="N3" s="531"/>
      <c r="O3" s="531"/>
      <c r="P3" s="531"/>
      <c r="AK3" s="718" t="s">
        <v>176</v>
      </c>
      <c r="AL3" s="802"/>
      <c r="AM3" s="802"/>
      <c r="AN3" s="802"/>
      <c r="AO3" s="798">
        <f>IF(AZ4="◎",F35,0)</f>
        <v>0</v>
      </c>
      <c r="AP3" s="799"/>
      <c r="AQ3" s="799"/>
      <c r="AR3" s="799"/>
      <c r="AS3" s="799"/>
      <c r="AT3" s="799"/>
      <c r="AU3" s="799"/>
      <c r="AX3" s="826" t="s">
        <v>273</v>
      </c>
      <c r="AY3" s="827"/>
      <c r="AZ3" s="226" t="s">
        <v>254</v>
      </c>
    </row>
    <row r="4" spans="1:52" ht="18" customHeight="1" x14ac:dyDescent="0.4">
      <c r="B4" s="531"/>
      <c r="C4" s="531"/>
      <c r="D4" s="531"/>
      <c r="E4" s="531"/>
      <c r="F4" s="531"/>
      <c r="G4" s="531"/>
      <c r="H4" s="531"/>
      <c r="I4" s="531"/>
      <c r="J4" s="531"/>
      <c r="K4" s="531"/>
      <c r="L4" s="531"/>
      <c r="M4" s="531"/>
      <c r="N4" s="531"/>
      <c r="O4" s="531"/>
      <c r="P4" s="531"/>
      <c r="AK4" s="803"/>
      <c r="AL4" s="803"/>
      <c r="AM4" s="803"/>
      <c r="AN4" s="803"/>
      <c r="AO4" s="800"/>
      <c r="AP4" s="800"/>
      <c r="AQ4" s="800"/>
      <c r="AR4" s="800"/>
      <c r="AS4" s="800"/>
      <c r="AT4" s="800"/>
      <c r="AU4" s="800"/>
      <c r="AX4" s="273" t="s">
        <v>253</v>
      </c>
      <c r="AY4" s="226" t="str">
        <f>AW23</f>
        <v>○</v>
      </c>
      <c r="AZ4" s="718" t="str">
        <f xml:space="preserve">
IF(COUNTIF(AY4:AY5,"◎")=2,"◎",
IF(COUNTIF(AY4:AY5,"○")=2,"○",
IF(COUNTIF(AY4:AY5,"◎")=1,"×",
IF(COUNTIF(AY4:AY5,"×")&gt;=1,"×"))))</f>
        <v>○</v>
      </c>
    </row>
    <row r="5" spans="1:52" ht="18" customHeight="1" x14ac:dyDescent="0.4">
      <c r="B5" s="531"/>
      <c r="C5" s="531"/>
      <c r="D5" s="531"/>
      <c r="E5" s="531"/>
      <c r="F5" s="531"/>
      <c r="G5" s="531"/>
      <c r="H5" s="531"/>
      <c r="I5" s="531"/>
      <c r="J5" s="531"/>
      <c r="K5" s="531"/>
      <c r="L5" s="531"/>
      <c r="M5" s="531"/>
      <c r="N5" s="531"/>
      <c r="O5" s="531"/>
      <c r="P5" s="531"/>
      <c r="AK5" s="804"/>
      <c r="AL5" s="804"/>
      <c r="AM5" s="804"/>
      <c r="AN5" s="804"/>
      <c r="AO5" s="801"/>
      <c r="AP5" s="801"/>
      <c r="AQ5" s="801"/>
      <c r="AR5" s="801"/>
      <c r="AS5" s="801"/>
      <c r="AT5" s="801"/>
      <c r="AU5" s="801"/>
      <c r="AX5" s="273" t="s">
        <v>198</v>
      </c>
      <c r="AY5" s="226" t="str">
        <f>J35</f>
        <v>○</v>
      </c>
      <c r="AZ5" s="720"/>
    </row>
    <row r="6" spans="1:52" ht="24.95" customHeight="1" x14ac:dyDescent="0.4">
      <c r="T6" s="493" t="str">
        <f xml:space="preserve">
IF(COUNTIF(AY4:AY5,"◎")=2,"全ての入力項目が適切に入力されたため金額が表示されました。",
IF(COUNTIF(AY4:AY5,"○")=2,"申請しない場合は入力不要です。",
IF(COUNTIF(AY4:AY5,"◎")=1,"【要修正】入力が不十分、または不要な入力がされている欄があります。",
IF(COUNTIF(AY4:AY5,"×")&gt;=1,"【要修正】入力が不十分、または不要な入力がされている欄があります。"))))</f>
        <v>申請しない場合は入力不要です。</v>
      </c>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row>
    <row r="7" spans="1:52" ht="24.95" customHeight="1" x14ac:dyDescent="0.4">
      <c r="T7" s="837"/>
      <c r="U7" s="837"/>
      <c r="V7" s="837"/>
      <c r="W7" s="837"/>
      <c r="X7" s="837"/>
      <c r="Y7" s="837"/>
      <c r="Z7" s="837"/>
      <c r="AA7" s="837"/>
      <c r="AB7" s="837"/>
      <c r="AC7" s="837"/>
      <c r="AD7" s="837"/>
      <c r="AE7" s="837"/>
      <c r="AF7" s="837"/>
      <c r="AG7" s="837"/>
      <c r="AH7" s="837"/>
      <c r="AI7" s="837"/>
      <c r="AJ7" s="837"/>
      <c r="AK7" s="837"/>
      <c r="AL7" s="837"/>
      <c r="AM7" s="837"/>
      <c r="AN7" s="837"/>
      <c r="AO7" s="837"/>
      <c r="AP7" s="837"/>
      <c r="AQ7" s="837"/>
      <c r="AR7" s="837"/>
      <c r="AS7" s="837"/>
      <c r="AT7" s="837"/>
      <c r="AU7" s="837"/>
    </row>
    <row r="8" spans="1:52" s="238" customFormat="1" ht="24.95" customHeight="1" thickBot="1" x14ac:dyDescent="0.45">
      <c r="A8" s="238" t="s">
        <v>178</v>
      </c>
      <c r="T8" s="238" t="s">
        <v>263</v>
      </c>
      <c r="AK8" s="274"/>
      <c r="AL8" s="274"/>
      <c r="AM8" s="274"/>
      <c r="AN8" s="274"/>
      <c r="AO8" s="274"/>
      <c r="AP8" s="274"/>
      <c r="AQ8" s="274"/>
      <c r="AR8" s="274"/>
      <c r="AS8" s="274"/>
      <c r="AT8" s="274"/>
      <c r="AU8" s="274"/>
    </row>
    <row r="9" spans="1:52" s="238" customFormat="1" ht="24.95" customHeight="1" thickTop="1" x14ac:dyDescent="0.4">
      <c r="B9" s="274"/>
      <c r="C9" s="274"/>
      <c r="D9" s="274"/>
      <c r="E9" s="274"/>
      <c r="F9" s="274"/>
      <c r="G9" s="274"/>
      <c r="H9" s="274"/>
      <c r="I9" s="274"/>
      <c r="J9" s="274"/>
      <c r="K9" s="274"/>
      <c r="L9" s="274"/>
      <c r="M9" s="274"/>
      <c r="N9" s="274"/>
      <c r="O9" s="274"/>
      <c r="P9" s="274"/>
      <c r="Q9" s="274"/>
      <c r="S9" s="275"/>
      <c r="T9" s="828" t="s">
        <v>378</v>
      </c>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30"/>
      <c r="AV9" s="275"/>
    </row>
    <row r="10" spans="1:52" s="238" customFormat="1" ht="24.95" customHeight="1" x14ac:dyDescent="0.4">
      <c r="R10" s="275"/>
      <c r="S10" s="275"/>
      <c r="T10" s="831"/>
      <c r="U10" s="832"/>
      <c r="V10" s="832"/>
      <c r="W10" s="832"/>
      <c r="X10" s="832"/>
      <c r="Y10" s="832"/>
      <c r="Z10" s="832"/>
      <c r="AA10" s="832"/>
      <c r="AB10" s="832"/>
      <c r="AC10" s="832"/>
      <c r="AD10" s="832"/>
      <c r="AE10" s="832"/>
      <c r="AF10" s="832"/>
      <c r="AG10" s="832"/>
      <c r="AH10" s="832"/>
      <c r="AI10" s="832"/>
      <c r="AJ10" s="832"/>
      <c r="AK10" s="832"/>
      <c r="AL10" s="832"/>
      <c r="AM10" s="832"/>
      <c r="AN10" s="832"/>
      <c r="AO10" s="832"/>
      <c r="AP10" s="832"/>
      <c r="AQ10" s="832"/>
      <c r="AR10" s="832"/>
      <c r="AS10" s="832"/>
      <c r="AT10" s="832"/>
      <c r="AU10" s="833"/>
      <c r="AV10" s="275"/>
    </row>
    <row r="11" spans="1:52" s="238" customFormat="1" ht="24.95" customHeight="1" x14ac:dyDescent="0.4">
      <c r="R11" s="275"/>
      <c r="S11" s="275"/>
      <c r="T11" s="831"/>
      <c r="U11" s="832"/>
      <c r="V11" s="832"/>
      <c r="W11" s="832"/>
      <c r="X11" s="832"/>
      <c r="Y11" s="832"/>
      <c r="Z11" s="832"/>
      <c r="AA11" s="832"/>
      <c r="AB11" s="832"/>
      <c r="AC11" s="832"/>
      <c r="AD11" s="832"/>
      <c r="AE11" s="832"/>
      <c r="AF11" s="832"/>
      <c r="AG11" s="832"/>
      <c r="AH11" s="832"/>
      <c r="AI11" s="832"/>
      <c r="AJ11" s="832"/>
      <c r="AK11" s="832"/>
      <c r="AL11" s="832"/>
      <c r="AM11" s="832"/>
      <c r="AN11" s="832"/>
      <c r="AO11" s="832"/>
      <c r="AP11" s="832"/>
      <c r="AQ11" s="832"/>
      <c r="AR11" s="832"/>
      <c r="AS11" s="832"/>
      <c r="AT11" s="832"/>
      <c r="AU11" s="833"/>
      <c r="AV11" s="275"/>
    </row>
    <row r="12" spans="1:52" s="238" customFormat="1" ht="24.95" customHeight="1" x14ac:dyDescent="0.4">
      <c r="R12" s="275"/>
      <c r="S12" s="275"/>
      <c r="T12" s="831"/>
      <c r="U12" s="832"/>
      <c r="V12" s="832"/>
      <c r="W12" s="832"/>
      <c r="X12" s="832"/>
      <c r="Y12" s="832"/>
      <c r="Z12" s="832"/>
      <c r="AA12" s="832"/>
      <c r="AB12" s="832"/>
      <c r="AC12" s="832"/>
      <c r="AD12" s="832"/>
      <c r="AE12" s="832"/>
      <c r="AF12" s="832"/>
      <c r="AG12" s="832"/>
      <c r="AH12" s="832"/>
      <c r="AI12" s="832"/>
      <c r="AJ12" s="832"/>
      <c r="AK12" s="832"/>
      <c r="AL12" s="832"/>
      <c r="AM12" s="832"/>
      <c r="AN12" s="832"/>
      <c r="AO12" s="832"/>
      <c r="AP12" s="832"/>
      <c r="AQ12" s="832"/>
      <c r="AR12" s="832"/>
      <c r="AS12" s="832"/>
      <c r="AT12" s="832"/>
      <c r="AU12" s="833"/>
      <c r="AV12" s="275"/>
    </row>
    <row r="13" spans="1:52" s="238" customFormat="1" ht="24.95" customHeight="1" x14ac:dyDescent="0.4">
      <c r="R13" s="275"/>
      <c r="S13" s="275"/>
      <c r="T13" s="831"/>
      <c r="U13" s="832"/>
      <c r="V13" s="832"/>
      <c r="W13" s="832"/>
      <c r="X13" s="832"/>
      <c r="Y13" s="832"/>
      <c r="Z13" s="832"/>
      <c r="AA13" s="832"/>
      <c r="AB13" s="832"/>
      <c r="AC13" s="832"/>
      <c r="AD13" s="832"/>
      <c r="AE13" s="832"/>
      <c r="AF13" s="832"/>
      <c r="AG13" s="832"/>
      <c r="AH13" s="832"/>
      <c r="AI13" s="832"/>
      <c r="AJ13" s="832"/>
      <c r="AK13" s="832"/>
      <c r="AL13" s="832"/>
      <c r="AM13" s="832"/>
      <c r="AN13" s="832"/>
      <c r="AO13" s="832"/>
      <c r="AP13" s="832"/>
      <c r="AQ13" s="832"/>
      <c r="AR13" s="832"/>
      <c r="AS13" s="832"/>
      <c r="AT13" s="832"/>
      <c r="AU13" s="833"/>
      <c r="AV13" s="275"/>
    </row>
    <row r="14" spans="1:52" s="238" customFormat="1" ht="24.95" customHeight="1" x14ac:dyDescent="0.4">
      <c r="R14" s="275"/>
      <c r="S14" s="275"/>
      <c r="T14" s="831"/>
      <c r="U14" s="832"/>
      <c r="V14" s="832"/>
      <c r="W14" s="832"/>
      <c r="X14" s="832"/>
      <c r="Y14" s="832"/>
      <c r="Z14" s="832"/>
      <c r="AA14" s="832"/>
      <c r="AB14" s="832"/>
      <c r="AC14" s="832"/>
      <c r="AD14" s="832"/>
      <c r="AE14" s="832"/>
      <c r="AF14" s="832"/>
      <c r="AG14" s="832"/>
      <c r="AH14" s="832"/>
      <c r="AI14" s="832"/>
      <c r="AJ14" s="832"/>
      <c r="AK14" s="832"/>
      <c r="AL14" s="832"/>
      <c r="AM14" s="832"/>
      <c r="AN14" s="832"/>
      <c r="AO14" s="832"/>
      <c r="AP14" s="832"/>
      <c r="AQ14" s="832"/>
      <c r="AR14" s="832"/>
      <c r="AS14" s="832"/>
      <c r="AT14" s="832"/>
      <c r="AU14" s="833"/>
      <c r="AV14" s="275"/>
    </row>
    <row r="15" spans="1:52" s="238" customFormat="1" ht="24.95" customHeight="1" x14ac:dyDescent="0.4">
      <c r="R15" s="275"/>
      <c r="S15" s="275"/>
      <c r="T15" s="831"/>
      <c r="U15" s="832"/>
      <c r="V15" s="832"/>
      <c r="W15" s="832"/>
      <c r="X15" s="832"/>
      <c r="Y15" s="832"/>
      <c r="Z15" s="832"/>
      <c r="AA15" s="832"/>
      <c r="AB15" s="832"/>
      <c r="AC15" s="832"/>
      <c r="AD15" s="832"/>
      <c r="AE15" s="832"/>
      <c r="AF15" s="832"/>
      <c r="AG15" s="832"/>
      <c r="AH15" s="832"/>
      <c r="AI15" s="832"/>
      <c r="AJ15" s="832"/>
      <c r="AK15" s="832"/>
      <c r="AL15" s="832"/>
      <c r="AM15" s="832"/>
      <c r="AN15" s="832"/>
      <c r="AO15" s="832"/>
      <c r="AP15" s="832"/>
      <c r="AQ15" s="832"/>
      <c r="AR15" s="832"/>
      <c r="AS15" s="832"/>
      <c r="AT15" s="832"/>
      <c r="AU15" s="833"/>
      <c r="AV15" s="275"/>
    </row>
    <row r="16" spans="1:52" s="238" customFormat="1" ht="24.95" customHeight="1" x14ac:dyDescent="0.4">
      <c r="R16" s="275"/>
      <c r="S16" s="275"/>
      <c r="T16" s="831"/>
      <c r="U16" s="832"/>
      <c r="V16" s="832"/>
      <c r="W16" s="832"/>
      <c r="X16" s="832"/>
      <c r="Y16" s="832"/>
      <c r="Z16" s="832"/>
      <c r="AA16" s="832"/>
      <c r="AB16" s="832"/>
      <c r="AC16" s="832"/>
      <c r="AD16" s="832"/>
      <c r="AE16" s="832"/>
      <c r="AF16" s="832"/>
      <c r="AG16" s="832"/>
      <c r="AH16" s="832"/>
      <c r="AI16" s="832"/>
      <c r="AJ16" s="832"/>
      <c r="AK16" s="832"/>
      <c r="AL16" s="832"/>
      <c r="AM16" s="832"/>
      <c r="AN16" s="832"/>
      <c r="AO16" s="832"/>
      <c r="AP16" s="832"/>
      <c r="AQ16" s="832"/>
      <c r="AR16" s="832"/>
      <c r="AS16" s="832"/>
      <c r="AT16" s="832"/>
      <c r="AU16" s="833"/>
      <c r="AV16" s="275"/>
    </row>
    <row r="17" spans="1:70" s="238" customFormat="1" ht="24.95" customHeight="1" x14ac:dyDescent="0.4">
      <c r="R17" s="275"/>
      <c r="S17" s="275"/>
      <c r="T17" s="831"/>
      <c r="U17" s="832"/>
      <c r="V17" s="832"/>
      <c r="W17" s="832"/>
      <c r="X17" s="832"/>
      <c r="Y17" s="832"/>
      <c r="Z17" s="832"/>
      <c r="AA17" s="832"/>
      <c r="AB17" s="832"/>
      <c r="AC17" s="832"/>
      <c r="AD17" s="832"/>
      <c r="AE17" s="832"/>
      <c r="AF17" s="832"/>
      <c r="AG17" s="832"/>
      <c r="AH17" s="832"/>
      <c r="AI17" s="832"/>
      <c r="AJ17" s="832"/>
      <c r="AK17" s="832"/>
      <c r="AL17" s="832"/>
      <c r="AM17" s="832"/>
      <c r="AN17" s="832"/>
      <c r="AO17" s="832"/>
      <c r="AP17" s="832"/>
      <c r="AQ17" s="832"/>
      <c r="AR17" s="832"/>
      <c r="AS17" s="832"/>
      <c r="AT17" s="832"/>
      <c r="AU17" s="833"/>
      <c r="AV17" s="275"/>
    </row>
    <row r="18" spans="1:70" s="238" customFormat="1" ht="24.95" customHeight="1" x14ac:dyDescent="0.4">
      <c r="R18" s="275"/>
      <c r="S18" s="275"/>
      <c r="T18" s="831"/>
      <c r="U18" s="832"/>
      <c r="V18" s="832"/>
      <c r="W18" s="832"/>
      <c r="X18" s="832"/>
      <c r="Y18" s="832"/>
      <c r="Z18" s="832"/>
      <c r="AA18" s="832"/>
      <c r="AB18" s="832"/>
      <c r="AC18" s="832"/>
      <c r="AD18" s="832"/>
      <c r="AE18" s="832"/>
      <c r="AF18" s="832"/>
      <c r="AG18" s="832"/>
      <c r="AH18" s="832"/>
      <c r="AI18" s="832"/>
      <c r="AJ18" s="832"/>
      <c r="AK18" s="832"/>
      <c r="AL18" s="832"/>
      <c r="AM18" s="832"/>
      <c r="AN18" s="832"/>
      <c r="AO18" s="832"/>
      <c r="AP18" s="832"/>
      <c r="AQ18" s="832"/>
      <c r="AR18" s="832"/>
      <c r="AS18" s="832"/>
      <c r="AT18" s="832"/>
      <c r="AU18" s="833"/>
      <c r="AV18" s="275"/>
    </row>
    <row r="19" spans="1:70" s="238" customFormat="1" ht="24.95" customHeight="1" x14ac:dyDescent="0.4">
      <c r="R19" s="274"/>
      <c r="S19" s="274"/>
      <c r="T19" s="831"/>
      <c r="U19" s="832"/>
      <c r="V19" s="832"/>
      <c r="W19" s="832"/>
      <c r="X19" s="832"/>
      <c r="Y19" s="832"/>
      <c r="Z19" s="832"/>
      <c r="AA19" s="832"/>
      <c r="AB19" s="832"/>
      <c r="AC19" s="832"/>
      <c r="AD19" s="832"/>
      <c r="AE19" s="832"/>
      <c r="AF19" s="832"/>
      <c r="AG19" s="832"/>
      <c r="AH19" s="832"/>
      <c r="AI19" s="832"/>
      <c r="AJ19" s="832"/>
      <c r="AK19" s="832"/>
      <c r="AL19" s="832"/>
      <c r="AM19" s="832"/>
      <c r="AN19" s="832"/>
      <c r="AO19" s="832"/>
      <c r="AP19" s="832"/>
      <c r="AQ19" s="832"/>
      <c r="AR19" s="832"/>
      <c r="AS19" s="832"/>
      <c r="AT19" s="832"/>
      <c r="AU19" s="833"/>
      <c r="AV19" s="274"/>
    </row>
    <row r="20" spans="1:70" s="238" customFormat="1" ht="24.95" customHeight="1" x14ac:dyDescent="0.4">
      <c r="R20" s="274"/>
      <c r="S20" s="274"/>
      <c r="T20" s="831"/>
      <c r="U20" s="832"/>
      <c r="V20" s="832"/>
      <c r="W20" s="832"/>
      <c r="X20" s="832"/>
      <c r="Y20" s="832"/>
      <c r="Z20" s="832"/>
      <c r="AA20" s="832"/>
      <c r="AB20" s="832"/>
      <c r="AC20" s="832"/>
      <c r="AD20" s="832"/>
      <c r="AE20" s="832"/>
      <c r="AF20" s="832"/>
      <c r="AG20" s="832"/>
      <c r="AH20" s="832"/>
      <c r="AI20" s="832"/>
      <c r="AJ20" s="832"/>
      <c r="AK20" s="832"/>
      <c r="AL20" s="832"/>
      <c r="AM20" s="832"/>
      <c r="AN20" s="832"/>
      <c r="AO20" s="832"/>
      <c r="AP20" s="832"/>
      <c r="AQ20" s="832"/>
      <c r="AR20" s="832"/>
      <c r="AS20" s="832"/>
      <c r="AT20" s="832"/>
      <c r="AU20" s="833"/>
      <c r="AV20" s="274"/>
    </row>
    <row r="21" spans="1:70" s="238" customFormat="1" ht="24.95" customHeight="1" thickBot="1" x14ac:dyDescent="0.45">
      <c r="T21" s="834"/>
      <c r="U21" s="835"/>
      <c r="V21" s="835"/>
      <c r="W21" s="835"/>
      <c r="X21" s="835"/>
      <c r="Y21" s="835"/>
      <c r="Z21" s="835"/>
      <c r="AA21" s="835"/>
      <c r="AB21" s="835"/>
      <c r="AC21" s="835"/>
      <c r="AD21" s="835"/>
      <c r="AE21" s="835"/>
      <c r="AF21" s="835"/>
      <c r="AG21" s="835"/>
      <c r="AH21" s="835"/>
      <c r="AI21" s="835"/>
      <c r="AJ21" s="835"/>
      <c r="AK21" s="835"/>
      <c r="AL21" s="835"/>
      <c r="AM21" s="835"/>
      <c r="AN21" s="835"/>
      <c r="AO21" s="835"/>
      <c r="AP21" s="835"/>
      <c r="AQ21" s="835"/>
      <c r="AR21" s="835"/>
      <c r="AS21" s="835"/>
      <c r="AT21" s="835"/>
      <c r="AU21" s="836"/>
    </row>
    <row r="22" spans="1:70" s="238" customFormat="1" ht="24.95" customHeight="1" thickTop="1" x14ac:dyDescent="0.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row>
    <row r="23" spans="1:70" s="238" customFormat="1" ht="24.95" customHeight="1" x14ac:dyDescent="0.4">
      <c r="A23" s="498" t="str">
        <f>"寸法内訳　【総合判定】"&amp;AW23&amp;"（"&amp;AX23&amp;"）"</f>
        <v>寸法内訳　【総合判定】○（申請しない場合は入力不要です。）</v>
      </c>
      <c r="B23" s="738"/>
      <c r="C23" s="738"/>
      <c r="D23" s="738"/>
      <c r="E23" s="738"/>
      <c r="F23" s="738"/>
      <c r="G23" s="738"/>
      <c r="H23" s="738"/>
      <c r="I23" s="738"/>
      <c r="J23" s="738"/>
      <c r="K23" s="738"/>
      <c r="L23" s="738"/>
      <c r="M23" s="738"/>
      <c r="N23" s="738"/>
      <c r="O23" s="738"/>
      <c r="P23" s="738"/>
      <c r="Q23" s="738"/>
      <c r="R23" s="738"/>
      <c r="S23" s="738"/>
      <c r="T23" s="738"/>
      <c r="U23" s="738"/>
      <c r="V23" s="738"/>
      <c r="W23" s="738"/>
      <c r="X23" s="738"/>
      <c r="Y23" s="738"/>
      <c r="Z23" s="738"/>
      <c r="AA23" s="738"/>
      <c r="AB23" s="738"/>
      <c r="AC23" s="738"/>
      <c r="AD23" s="738"/>
      <c r="AE23" s="738"/>
      <c r="AF23" s="738"/>
      <c r="AG23" s="738"/>
      <c r="AH23" s="738"/>
      <c r="AI23" s="738"/>
      <c r="AJ23" s="738"/>
      <c r="AK23" s="738"/>
      <c r="AL23" s="738"/>
      <c r="AM23" s="738"/>
      <c r="AN23" s="738"/>
      <c r="AO23" s="738"/>
      <c r="AP23" s="738"/>
      <c r="AQ23" s="738"/>
      <c r="AR23" s="738"/>
      <c r="AS23" s="738"/>
      <c r="AT23" s="738"/>
      <c r="AW23" s="260" t="str">
        <f>IF(SUM(COUNTIF(AD26:AE30,"○"))=5,"○",
IF(SUM(COUNTIF(AD26:AE30,"×"))&gt;=1,"×",
IF(SUM(COUNTIF(AD26:AE30,"◎"))&lt;&gt;5,"×",
IF(SUM(COUNTIF(AD26:AE30,"◎"))=5,"◎"))))</f>
        <v>○</v>
      </c>
      <c r="AX23" s="276" t="str">
        <f xml:space="preserve">
IF(SUM(COUNTIF(AD26:AE30,"○"))=5,"申請しない場合は入力不要です。",
IF(SUM(COUNTIF(AD26:AE30,"×"))&gt;=1,"【要修正】入力不十分な箇所があります。「×」表示の箇所を確認してください。",
IF(SUM(COUNTIF(AD26:AE30,"◎"))&lt;&gt;5,"【要修正】未入力の箇所があります。「○」表示の箇所を確認してください。。",
IF(SUM(COUNTIF(AD26:AE30,"◎"))=5,"適切に入力がされました。"))))</f>
        <v>申請しない場合は入力不要です。</v>
      </c>
      <c r="AY23" s="255"/>
      <c r="AZ23" s="255"/>
      <c r="BA23" s="239"/>
      <c r="BB23" s="277"/>
      <c r="BC23" s="277"/>
      <c r="BD23" s="277"/>
      <c r="BE23" s="277"/>
      <c r="BF23" s="277"/>
      <c r="BG23" s="277"/>
      <c r="BH23" s="277"/>
      <c r="BI23" s="277"/>
      <c r="BJ23" s="277"/>
      <c r="BK23" s="277"/>
      <c r="BL23" s="277"/>
      <c r="BM23" s="277"/>
      <c r="BN23" s="277"/>
      <c r="BO23" s="277"/>
      <c r="BP23" s="277"/>
      <c r="BQ23" s="277"/>
      <c r="BR23" s="277"/>
    </row>
    <row r="24" spans="1:70" s="238" customFormat="1" ht="24.95" customHeight="1" x14ac:dyDescent="0.4">
      <c r="B24" s="238" t="s">
        <v>266</v>
      </c>
    </row>
    <row r="25" spans="1:70" s="238" customFormat="1" ht="24.95" customHeight="1" x14ac:dyDescent="0.4">
      <c r="B25" s="495" t="s">
        <v>184</v>
      </c>
      <c r="C25" s="756"/>
      <c r="D25" s="756"/>
      <c r="E25" s="756"/>
      <c r="F25" s="756"/>
      <c r="G25" s="756"/>
      <c r="H25" s="756"/>
      <c r="I25" s="757"/>
      <c r="J25" s="500" t="s">
        <v>264</v>
      </c>
      <c r="K25" s="527"/>
      <c r="L25" s="527"/>
      <c r="M25" s="758"/>
      <c r="N25" s="500" t="s">
        <v>265</v>
      </c>
      <c r="O25" s="527"/>
      <c r="P25" s="527"/>
      <c r="Q25" s="758"/>
      <c r="R25" s="500" t="s">
        <v>366</v>
      </c>
      <c r="S25" s="527"/>
      <c r="T25" s="527"/>
      <c r="U25" s="758"/>
      <c r="V25" s="495" t="s">
        <v>181</v>
      </c>
      <c r="W25" s="756"/>
      <c r="X25" s="756"/>
      <c r="Y25" s="757"/>
      <c r="Z25" s="495" t="s">
        <v>188</v>
      </c>
      <c r="AA25" s="756"/>
      <c r="AB25" s="756"/>
      <c r="AC25" s="757"/>
      <c r="AD25" s="495" t="s">
        <v>43</v>
      </c>
      <c r="AE25" s="757"/>
      <c r="AF25" s="764" t="s">
        <v>70</v>
      </c>
      <c r="AG25" s="765"/>
      <c r="AH25" s="765"/>
      <c r="AI25" s="765"/>
      <c r="AJ25" s="765"/>
      <c r="AK25" s="765"/>
      <c r="AL25" s="765"/>
      <c r="AM25" s="765"/>
      <c r="AN25" s="765"/>
      <c r="AO25" s="765"/>
      <c r="AP25" s="765"/>
      <c r="AQ25" s="765"/>
      <c r="AR25" s="765"/>
      <c r="AS25" s="765"/>
      <c r="AT25" s="765"/>
      <c r="AU25" s="766"/>
    </row>
    <row r="26" spans="1:70" s="238" customFormat="1" ht="24.95" customHeight="1" x14ac:dyDescent="0.4">
      <c r="B26" s="742" t="s">
        <v>208</v>
      </c>
      <c r="C26" s="743"/>
      <c r="D26" s="743"/>
      <c r="E26" s="743"/>
      <c r="F26" s="743"/>
      <c r="G26" s="743"/>
      <c r="H26" s="743"/>
      <c r="I26" s="744"/>
      <c r="J26" s="762"/>
      <c r="K26" s="763"/>
      <c r="L26" s="763"/>
      <c r="M26" s="763"/>
      <c r="N26" s="762"/>
      <c r="O26" s="763"/>
      <c r="P26" s="763"/>
      <c r="Q26" s="763"/>
      <c r="R26" s="838">
        <f>ROUNDDOWN(J26*N26,2)</f>
        <v>0</v>
      </c>
      <c r="S26" s="839"/>
      <c r="T26" s="839"/>
      <c r="U26" s="839"/>
      <c r="V26" s="753" t="s">
        <v>182</v>
      </c>
      <c r="W26" s="754"/>
      <c r="X26" s="754"/>
      <c r="Y26" s="755"/>
      <c r="Z26" s="753" t="s">
        <v>182</v>
      </c>
      <c r="AA26" s="754"/>
      <c r="AB26" s="754"/>
      <c r="AC26" s="755"/>
      <c r="AD26" s="753" t="str">
        <f xml:space="preserve">
IF(COUNTA(J26:Q26)=0,"○",
IF(COUNTA(J26:Q26)=2,"◎",
IF(COUNTA(J26:Q26)=1,"×")))</f>
        <v>○</v>
      </c>
      <c r="AE26" s="755"/>
      <c r="AF26" s="742" t="str">
        <f xml:space="preserve">
IF(COUNTA(J26:Q26)=0,"申請しない場合は入力不要です。",
IF(COUNTA(J26:Q26)=2,"適切に入力がされました。",
IF(COUNTA(J26:Q26)=1,"【要修正】縦横の寸法をいずれも入力してください。")))</f>
        <v>申請しない場合は入力不要です。</v>
      </c>
      <c r="AG26" s="743"/>
      <c r="AH26" s="743"/>
      <c r="AI26" s="743"/>
      <c r="AJ26" s="743"/>
      <c r="AK26" s="743"/>
      <c r="AL26" s="743"/>
      <c r="AM26" s="743"/>
      <c r="AN26" s="743"/>
      <c r="AO26" s="743"/>
      <c r="AP26" s="743"/>
      <c r="AQ26" s="743"/>
      <c r="AR26" s="743"/>
      <c r="AS26" s="743"/>
      <c r="AT26" s="743"/>
      <c r="AU26" s="744"/>
    </row>
    <row r="27" spans="1:70" s="238" customFormat="1" ht="24.95" customHeight="1" x14ac:dyDescent="0.4">
      <c r="B27" s="742" t="s">
        <v>183</v>
      </c>
      <c r="C27" s="743"/>
      <c r="D27" s="743"/>
      <c r="E27" s="743"/>
      <c r="F27" s="743"/>
      <c r="G27" s="743"/>
      <c r="H27" s="743"/>
      <c r="I27" s="744"/>
      <c r="J27" s="762"/>
      <c r="K27" s="763"/>
      <c r="L27" s="763"/>
      <c r="M27" s="763"/>
      <c r="N27" s="762"/>
      <c r="O27" s="763"/>
      <c r="P27" s="763"/>
      <c r="Q27" s="763"/>
      <c r="R27" s="838">
        <f>ROUNDDOWN(J27*N27,2)</f>
        <v>0</v>
      </c>
      <c r="S27" s="839"/>
      <c r="T27" s="839"/>
      <c r="U27" s="839"/>
      <c r="V27" s="750">
        <f>IFERROR(R27/$R$26,0)</f>
        <v>0</v>
      </c>
      <c r="W27" s="751"/>
      <c r="X27" s="751"/>
      <c r="Y27" s="752"/>
      <c r="Z27" s="750">
        <v>0.15</v>
      </c>
      <c r="AA27" s="751"/>
      <c r="AB27" s="751"/>
      <c r="AC27" s="752"/>
      <c r="AD27" s="753" t="str">
        <f xml:space="preserve">
IF(COUNTA(J27:Q27)=0,"○",
IF(COUNTA(J27:Q27)=1,"×",
IF(AND(COUNTA(J27:Q27)=2,V27&gt;=Z27),"◎",
IF(AND(COUNTA(J27:Q27)=2,V27&lt;Z27),"×"))))</f>
        <v>○</v>
      </c>
      <c r="AE27" s="755"/>
      <c r="AF27" s="742" t="str">
        <f xml:space="preserve">
IF(COUNTA(J27:Q27)=0,"申請しない場合は入力不要です。",
IF(COUNTA(J27:Q27)=1,"【要修正】縦横の寸法をいずれも入力してください。",
IF(AND(COUNTA(J27:Q27)=2,V27&gt;=Z27),"適切に入力がされました。",
IF(AND(COUNTA(J27:Q27)=2,V27&lt;Z27),"【要修正】「発熱外来の明示部分」の専有割合が必要割合を下回っています。"))))</f>
        <v>申請しない場合は入力不要です。</v>
      </c>
      <c r="AG27" s="743"/>
      <c r="AH27" s="743"/>
      <c r="AI27" s="743"/>
      <c r="AJ27" s="743"/>
      <c r="AK27" s="743"/>
      <c r="AL27" s="743"/>
      <c r="AM27" s="743"/>
      <c r="AN27" s="743"/>
      <c r="AO27" s="743"/>
      <c r="AP27" s="743"/>
      <c r="AQ27" s="743"/>
      <c r="AR27" s="743"/>
      <c r="AS27" s="743"/>
      <c r="AT27" s="743"/>
      <c r="AU27" s="744"/>
    </row>
    <row r="28" spans="1:70" s="238" customFormat="1" ht="24.95" customHeight="1" x14ac:dyDescent="0.4">
      <c r="B28" s="742" t="s">
        <v>187</v>
      </c>
      <c r="C28" s="743"/>
      <c r="D28" s="743"/>
      <c r="E28" s="743"/>
      <c r="F28" s="743"/>
      <c r="G28" s="743"/>
      <c r="H28" s="743"/>
      <c r="I28" s="744"/>
      <c r="J28" s="762"/>
      <c r="K28" s="763"/>
      <c r="L28" s="763"/>
      <c r="M28" s="763"/>
      <c r="N28" s="762"/>
      <c r="O28" s="763"/>
      <c r="P28" s="763"/>
      <c r="Q28" s="763"/>
      <c r="R28" s="838">
        <f>ROUNDDOWN(J28*N28,2)</f>
        <v>0</v>
      </c>
      <c r="S28" s="839"/>
      <c r="T28" s="839"/>
      <c r="U28" s="839"/>
      <c r="V28" s="750">
        <f>IFERROR(R28/$R$26,0)</f>
        <v>0</v>
      </c>
      <c r="W28" s="751"/>
      <c r="X28" s="751"/>
      <c r="Y28" s="752"/>
      <c r="Z28" s="750">
        <v>0.6</v>
      </c>
      <c r="AA28" s="751"/>
      <c r="AB28" s="751"/>
      <c r="AC28" s="752"/>
      <c r="AD28" s="753" t="str">
        <f t="shared" ref="AD28:AD29" si="0" xml:space="preserve">
IF(COUNTA(J28:Q28)=0,"○",
IF(COUNTA(J28:Q28)=1,"×",
IF(AND(COUNTA(J28:Q28)=2,V28&gt;=Z28),"◎",
IF(AND(COUNTA(J28:Q28)=2,V28&lt;Z28),"×"))))</f>
        <v>○</v>
      </c>
      <c r="AE28" s="755"/>
      <c r="AF28" s="742" t="str">
        <f xml:space="preserve">
IF(COUNTA(J28:Q28)=0,"申請しない場合は入力不要です。",
IF(COUNTA(J28:Q28)=1,"【要修正】縦横の寸法をいずれも入力してください。",
IF(AND(COUNTA(J28:Q28)=2,V28&gt;=Z28),"適切に入力がされました。",
IF(AND(COUNTA(J28:Q28)=2,V28&lt;Z28),"【要修正】「医療機関情報」の専有割合が必要割合を下回っています。"))))</f>
        <v>申請しない場合は入力不要です。</v>
      </c>
      <c r="AG28" s="743"/>
      <c r="AH28" s="743"/>
      <c r="AI28" s="743"/>
      <c r="AJ28" s="743"/>
      <c r="AK28" s="743"/>
      <c r="AL28" s="743"/>
      <c r="AM28" s="743"/>
      <c r="AN28" s="743"/>
      <c r="AO28" s="743"/>
      <c r="AP28" s="743"/>
      <c r="AQ28" s="743"/>
      <c r="AR28" s="743"/>
      <c r="AS28" s="743"/>
      <c r="AT28" s="743"/>
      <c r="AU28" s="744"/>
    </row>
    <row r="29" spans="1:70" s="238" customFormat="1" ht="24.95" customHeight="1" x14ac:dyDescent="0.4">
      <c r="B29" s="742" t="s">
        <v>207</v>
      </c>
      <c r="C29" s="743"/>
      <c r="D29" s="743"/>
      <c r="E29" s="743"/>
      <c r="F29" s="743"/>
      <c r="G29" s="743"/>
      <c r="H29" s="743"/>
      <c r="I29" s="744"/>
      <c r="J29" s="762"/>
      <c r="K29" s="763"/>
      <c r="L29" s="763"/>
      <c r="M29" s="763"/>
      <c r="N29" s="762"/>
      <c r="O29" s="763"/>
      <c r="P29" s="763"/>
      <c r="Q29" s="763"/>
      <c r="R29" s="838">
        <f>ROUNDDOWN(J29*N29,2)</f>
        <v>0</v>
      </c>
      <c r="S29" s="839"/>
      <c r="T29" s="839"/>
      <c r="U29" s="839"/>
      <c r="V29" s="750">
        <f>IFERROR(R29/$R$26,0)</f>
        <v>0</v>
      </c>
      <c r="W29" s="751"/>
      <c r="X29" s="751"/>
      <c r="Y29" s="752"/>
      <c r="Z29" s="750">
        <v>0.15</v>
      </c>
      <c r="AA29" s="751"/>
      <c r="AB29" s="751"/>
      <c r="AC29" s="752"/>
      <c r="AD29" s="753" t="str">
        <f t="shared" si="0"/>
        <v>○</v>
      </c>
      <c r="AE29" s="755"/>
      <c r="AF29" s="742" t="str">
        <f xml:space="preserve">
IF(COUNTA(J29:Q29)=0,"申請しない場合は入力不要です。",
IF(COUNTA(J29:Q29)=1,"【要修正】縦横の寸法をいずれも入力してください。",
IF(AND(COUNTA(J29:Q29)=2,V29&gt;=Z29),"適切に入力がされました。",
IF(AND(COUNTA(J29:Q29)=2,V29&lt;Z29),"【要修正】「対応時間」の専有割合が必要割合を下回っています。"))))</f>
        <v>申請しない場合は入力不要です。</v>
      </c>
      <c r="AG29" s="743"/>
      <c r="AH29" s="743"/>
      <c r="AI29" s="743"/>
      <c r="AJ29" s="743"/>
      <c r="AK29" s="743"/>
      <c r="AL29" s="743"/>
      <c r="AM29" s="743"/>
      <c r="AN29" s="743"/>
      <c r="AO29" s="743"/>
      <c r="AP29" s="743"/>
      <c r="AQ29" s="743"/>
      <c r="AR29" s="743"/>
      <c r="AS29" s="743"/>
      <c r="AT29" s="743"/>
      <c r="AU29" s="744"/>
    </row>
    <row r="30" spans="1:70" s="238" customFormat="1" ht="24.95" customHeight="1" x14ac:dyDescent="0.4">
      <c r="B30" s="742" t="s">
        <v>106</v>
      </c>
      <c r="C30" s="743"/>
      <c r="D30" s="743"/>
      <c r="E30" s="743"/>
      <c r="F30" s="743"/>
      <c r="G30" s="743"/>
      <c r="H30" s="743"/>
      <c r="I30" s="744"/>
      <c r="J30" s="745" t="s">
        <v>182</v>
      </c>
      <c r="K30" s="746"/>
      <c r="L30" s="746"/>
      <c r="M30" s="747"/>
      <c r="N30" s="745" t="s">
        <v>182</v>
      </c>
      <c r="O30" s="746"/>
      <c r="P30" s="746"/>
      <c r="Q30" s="747"/>
      <c r="R30" s="838">
        <f>R26-SUM(R27:U29)</f>
        <v>0</v>
      </c>
      <c r="S30" s="839"/>
      <c r="T30" s="839"/>
      <c r="U30" s="839"/>
      <c r="V30" s="750">
        <f>IFERROR(R30/$R$26,0)</f>
        <v>0</v>
      </c>
      <c r="W30" s="751"/>
      <c r="X30" s="751"/>
      <c r="Y30" s="752"/>
      <c r="Z30" s="753" t="s">
        <v>182</v>
      </c>
      <c r="AA30" s="754"/>
      <c r="AB30" s="754"/>
      <c r="AC30" s="755"/>
      <c r="AD30" s="753" t="str">
        <f xml:space="preserve">
IF(COUNTIF(AD26:AE29,"○")=4,"○",
IF(COUNTIF(AD26:AE29,"×")&gt;=1,"×",
IF(AND(COUNTIF(AD26:AE29,"◎")=4,R30&lt;0),"×",
IF(AND(COUNTIF(AD26:AE29,"◎")=4,R30&gt;=0),"◎",
IF(AND(COUNTIF(AD26:AE29,"◎")&lt;&gt;4,R30&lt;0),"×",
IF(AND(COUNTIF(AD26:AE29,"◎")&lt;&gt;4,R30&gt;=0),"×"
))))))</f>
        <v>○</v>
      </c>
      <c r="AE30" s="755"/>
      <c r="AF30" s="742" t="str">
        <f xml:space="preserve">
IF(COUNTIF(AD26:AE29,"○")=4,"申請しない場合は入力不要です。",
IF(COUNTIF(AD26:AE29,"×")&gt;=1,"【要修正】入力不十分な箇所があります。",
IF(AND(COUNTIF(AD26:AE29,"◎")=4,R30&lt;0),"各部分の面積の和が総面積を上回っています。",
IF(AND(COUNTIF(AD26:AE29,"◎")=4,R30&gt;=0),"適切に入力がされました。",
IF(AND(COUNTIF(AD26:AE29,"◎")&lt;&gt;4,R30&lt;0),"【要修正】入力不十分かつ各部分の面積の和が総面積を上回っています。",
IF(AND(COUNTIF(AD26:AE29,"◎")&lt;&gt;4,R30&gt;=0),"【要修正】入力不十分な箇所があります。"
))))))</f>
        <v>申請しない場合は入力不要です。</v>
      </c>
      <c r="AG30" s="743"/>
      <c r="AH30" s="743"/>
      <c r="AI30" s="743"/>
      <c r="AJ30" s="743"/>
      <c r="AK30" s="743"/>
      <c r="AL30" s="743"/>
      <c r="AM30" s="743"/>
      <c r="AN30" s="743"/>
      <c r="AO30" s="743"/>
      <c r="AP30" s="743"/>
      <c r="AQ30" s="743"/>
      <c r="AR30" s="743"/>
      <c r="AS30" s="743"/>
      <c r="AT30" s="743"/>
      <c r="AU30" s="744"/>
    </row>
    <row r="31" spans="1:70" s="238" customFormat="1" ht="24.95" customHeight="1" x14ac:dyDescent="0.4"/>
    <row r="32" spans="1:70" s="238" customFormat="1" ht="24.95" customHeight="1" x14ac:dyDescent="0.4">
      <c r="A32" s="498" t="str">
        <f>"（２）経費　【判定】"&amp;J35</f>
        <v>（２）経費　【判定】○</v>
      </c>
      <c r="B32" s="738"/>
      <c r="C32" s="738"/>
      <c r="D32" s="738"/>
      <c r="E32" s="738"/>
      <c r="F32" s="738"/>
      <c r="G32" s="738"/>
      <c r="H32" s="738"/>
      <c r="I32" s="738"/>
      <c r="J32" s="738"/>
      <c r="K32" s="738"/>
      <c r="L32" s="738"/>
      <c r="M32" s="738"/>
      <c r="N32" s="738"/>
      <c r="O32" s="738"/>
      <c r="P32" s="738"/>
      <c r="Q32" s="738"/>
      <c r="R32" s="738"/>
      <c r="S32" s="738"/>
      <c r="T32" s="738"/>
      <c r="U32" s="738"/>
      <c r="V32" s="738"/>
      <c r="W32" s="738"/>
      <c r="X32" s="738"/>
      <c r="Y32" s="738"/>
      <c r="Z32" s="738"/>
      <c r="AA32" s="738"/>
      <c r="AB32" s="738"/>
      <c r="AC32" s="738"/>
      <c r="AD32" s="738"/>
      <c r="AE32" s="738"/>
      <c r="AF32" s="738"/>
      <c r="AG32" s="738"/>
      <c r="AH32" s="738"/>
      <c r="AI32" s="738"/>
      <c r="AJ32" s="738"/>
      <c r="AK32" s="738"/>
      <c r="AL32" s="738"/>
      <c r="AM32" s="738"/>
      <c r="AN32" s="738"/>
      <c r="AO32" s="738"/>
      <c r="AP32" s="738"/>
      <c r="AQ32" s="738"/>
      <c r="AR32" s="738"/>
      <c r="AS32" s="738"/>
      <c r="AT32" s="738"/>
      <c r="AU32" s="738"/>
      <c r="AV32" s="738"/>
    </row>
    <row r="33" spans="1:48" s="238" customFormat="1" ht="24.95" customHeight="1" x14ac:dyDescent="0.4">
      <c r="A33" s="261"/>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row>
    <row r="34" spans="1:48" s="238" customFormat="1" ht="24.95" customHeight="1" x14ac:dyDescent="0.4">
      <c r="B34" s="500" t="s">
        <v>298</v>
      </c>
      <c r="C34" s="527"/>
      <c r="D34" s="527"/>
      <c r="E34" s="527"/>
      <c r="F34" s="500" t="s">
        <v>299</v>
      </c>
      <c r="G34" s="527"/>
      <c r="H34" s="527"/>
      <c r="I34" s="527"/>
      <c r="J34" s="495" t="s">
        <v>43</v>
      </c>
      <c r="K34" s="757"/>
      <c r="AD34" s="274"/>
      <c r="AE34" s="274"/>
      <c r="AF34" s="274"/>
      <c r="AG34" s="274"/>
      <c r="AH34" s="274"/>
      <c r="AI34" s="274"/>
      <c r="AJ34" s="274"/>
      <c r="AK34" s="274"/>
      <c r="AL34" s="274"/>
      <c r="AM34" s="274"/>
      <c r="AN34" s="274"/>
      <c r="AO34" s="274"/>
      <c r="AP34" s="274"/>
      <c r="AQ34" s="274"/>
    </row>
    <row r="35" spans="1:48" s="238" customFormat="1" ht="24.95" customHeight="1" x14ac:dyDescent="0.4">
      <c r="B35" s="840"/>
      <c r="C35" s="841"/>
      <c r="D35" s="841"/>
      <c r="E35" s="841"/>
      <c r="F35" s="792">
        <f>ROUNDDOWN(B35*1.1,0)</f>
        <v>0</v>
      </c>
      <c r="G35" s="793"/>
      <c r="H35" s="793"/>
      <c r="I35" s="793"/>
      <c r="J35" s="495" t="str">
        <f xml:space="preserve">
IF(COUNTA(B35)=0,"○",
IF(COUNTA(B35)=1,"◎"))</f>
        <v>○</v>
      </c>
      <c r="K35" s="757"/>
      <c r="L35" s="263">
        <f>IF(J35="◎",#REF!,0)</f>
        <v>0</v>
      </c>
      <c r="AD35" s="274"/>
      <c r="AE35" s="274"/>
      <c r="AF35" s="274"/>
      <c r="AG35" s="274"/>
      <c r="AH35" s="274"/>
      <c r="AI35" s="274"/>
      <c r="AJ35" s="274"/>
      <c r="AK35" s="274"/>
      <c r="AL35" s="274"/>
      <c r="AM35" s="274"/>
      <c r="AN35" s="274"/>
      <c r="AO35" s="274"/>
      <c r="AP35" s="274"/>
      <c r="AQ35" s="274"/>
    </row>
    <row r="36" spans="1:48" s="238" customFormat="1" ht="24.95" customHeight="1" thickBot="1" x14ac:dyDescent="0.45">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row>
    <row r="37" spans="1:48" s="238" customFormat="1" ht="24.95" customHeight="1" thickTop="1" x14ac:dyDescent="0.4">
      <c r="B37" s="849" t="s">
        <v>272</v>
      </c>
      <c r="C37" s="850"/>
      <c r="D37" s="850"/>
      <c r="E37" s="850"/>
      <c r="F37" s="850"/>
      <c r="G37" s="850"/>
      <c r="H37" s="850"/>
      <c r="I37" s="850"/>
      <c r="J37" s="850"/>
      <c r="K37" s="850"/>
      <c r="L37" s="850"/>
      <c r="M37" s="850"/>
      <c r="N37" s="850"/>
      <c r="O37" s="850"/>
      <c r="P37" s="850"/>
      <c r="Q37" s="850"/>
      <c r="R37" s="850"/>
      <c r="S37" s="850"/>
      <c r="T37" s="850"/>
      <c r="U37" s="850"/>
      <c r="V37" s="850"/>
      <c r="W37" s="850"/>
      <c r="X37" s="850"/>
      <c r="Y37" s="850"/>
      <c r="Z37" s="850"/>
      <c r="AA37" s="850"/>
      <c r="AB37" s="850"/>
      <c r="AC37" s="850"/>
      <c r="AD37" s="850"/>
      <c r="AE37" s="850"/>
      <c r="AF37" s="850"/>
      <c r="AG37" s="850"/>
      <c r="AH37" s="850"/>
      <c r="AI37" s="850"/>
      <c r="AJ37" s="850"/>
      <c r="AK37" s="850"/>
      <c r="AL37" s="850"/>
      <c r="AM37" s="850"/>
      <c r="AN37" s="850"/>
      <c r="AO37" s="850"/>
      <c r="AP37" s="850"/>
      <c r="AQ37" s="850"/>
      <c r="AR37" s="850"/>
      <c r="AS37" s="850"/>
      <c r="AT37" s="850"/>
      <c r="AU37" s="851"/>
      <c r="AV37" s="274"/>
    </row>
    <row r="38" spans="1:48" s="238" customFormat="1" ht="24.95" customHeight="1" x14ac:dyDescent="0.4">
      <c r="A38" s="274"/>
      <c r="B38" s="842"/>
      <c r="C38" s="852"/>
      <c r="D38" s="852"/>
      <c r="E38" s="852"/>
      <c r="F38" s="852"/>
      <c r="G38" s="852"/>
      <c r="H38" s="852"/>
      <c r="I38" s="852"/>
      <c r="J38" s="852"/>
      <c r="K38" s="852"/>
      <c r="L38" s="852"/>
      <c r="M38" s="852"/>
      <c r="N38" s="852"/>
      <c r="O38" s="852"/>
      <c r="P38" s="852"/>
      <c r="Q38" s="852"/>
      <c r="R38" s="852"/>
      <c r="S38" s="852"/>
      <c r="T38" s="852"/>
      <c r="U38" s="852"/>
      <c r="V38" s="852"/>
      <c r="W38" s="852"/>
      <c r="X38" s="852"/>
      <c r="Y38" s="852"/>
      <c r="Z38" s="852"/>
      <c r="AA38" s="852"/>
      <c r="AB38" s="852"/>
      <c r="AC38" s="852"/>
      <c r="AD38" s="852"/>
      <c r="AE38" s="852"/>
      <c r="AF38" s="852"/>
      <c r="AG38" s="852"/>
      <c r="AH38" s="852"/>
      <c r="AI38" s="852"/>
      <c r="AJ38" s="852"/>
      <c r="AK38" s="852"/>
      <c r="AL38" s="852"/>
      <c r="AM38" s="852"/>
      <c r="AN38" s="852"/>
      <c r="AO38" s="852"/>
      <c r="AP38" s="852"/>
      <c r="AQ38" s="852"/>
      <c r="AR38" s="852"/>
      <c r="AS38" s="852"/>
      <c r="AT38" s="852"/>
      <c r="AU38" s="853"/>
      <c r="AV38" s="274"/>
    </row>
    <row r="39" spans="1:48" s="238" customFormat="1" ht="24.95" customHeight="1" x14ac:dyDescent="0.4">
      <c r="B39" s="842" t="s">
        <v>268</v>
      </c>
      <c r="C39" s="843"/>
      <c r="D39" s="843"/>
      <c r="E39" s="843"/>
      <c r="F39" s="843"/>
      <c r="G39" s="843"/>
      <c r="H39" s="843"/>
      <c r="I39" s="843"/>
      <c r="J39" s="843"/>
      <c r="K39" s="843"/>
      <c r="L39" s="843"/>
      <c r="M39" s="843"/>
      <c r="N39" s="843"/>
      <c r="O39" s="843"/>
      <c r="P39" s="843"/>
      <c r="Q39" s="843"/>
      <c r="R39" s="843"/>
      <c r="S39" s="843"/>
      <c r="T39" s="843"/>
      <c r="U39" s="843"/>
      <c r="V39" s="843"/>
      <c r="W39" s="843"/>
      <c r="X39" s="843"/>
      <c r="Y39" s="843"/>
      <c r="Z39" s="843"/>
      <c r="AA39" s="843"/>
      <c r="AB39" s="843"/>
      <c r="AC39" s="843"/>
      <c r="AD39" s="843"/>
      <c r="AE39" s="843"/>
      <c r="AF39" s="843"/>
      <c r="AG39" s="843"/>
      <c r="AH39" s="843"/>
      <c r="AI39" s="843"/>
      <c r="AJ39" s="843"/>
      <c r="AK39" s="843"/>
      <c r="AL39" s="843"/>
      <c r="AM39" s="843"/>
      <c r="AN39" s="843"/>
      <c r="AO39" s="843"/>
      <c r="AP39" s="843"/>
      <c r="AQ39" s="843"/>
      <c r="AR39" s="843"/>
      <c r="AS39" s="843"/>
      <c r="AT39" s="843"/>
      <c r="AU39" s="844"/>
    </row>
    <row r="40" spans="1:48" s="238" customFormat="1" ht="24.95" customHeight="1" x14ac:dyDescent="0.4">
      <c r="B40" s="845"/>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843"/>
      <c r="AL40" s="843"/>
      <c r="AM40" s="843"/>
      <c r="AN40" s="843"/>
      <c r="AO40" s="843"/>
      <c r="AP40" s="843"/>
      <c r="AQ40" s="843"/>
      <c r="AR40" s="843"/>
      <c r="AS40" s="843"/>
      <c r="AT40" s="843"/>
      <c r="AU40" s="844"/>
    </row>
    <row r="41" spans="1:48" s="238" customFormat="1" ht="24.95" customHeight="1" x14ac:dyDescent="0.4">
      <c r="B41" s="842" t="s">
        <v>269</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843"/>
      <c r="AL41" s="843"/>
      <c r="AM41" s="843"/>
      <c r="AN41" s="843"/>
      <c r="AO41" s="843"/>
      <c r="AP41" s="843"/>
      <c r="AQ41" s="843"/>
      <c r="AR41" s="843"/>
      <c r="AS41" s="843"/>
      <c r="AT41" s="843"/>
      <c r="AU41" s="844"/>
    </row>
    <row r="42" spans="1:48" s="238" customFormat="1" ht="24.95" customHeight="1" x14ac:dyDescent="0.4">
      <c r="B42" s="845"/>
      <c r="C42" s="843"/>
      <c r="D42" s="843"/>
      <c r="E42" s="843"/>
      <c r="F42" s="843"/>
      <c r="G42" s="843"/>
      <c r="H42" s="843"/>
      <c r="I42" s="843"/>
      <c r="J42" s="843"/>
      <c r="K42" s="843"/>
      <c r="L42" s="843"/>
      <c r="M42" s="843"/>
      <c r="N42" s="843"/>
      <c r="O42" s="843"/>
      <c r="P42" s="843"/>
      <c r="Q42" s="843"/>
      <c r="R42" s="843"/>
      <c r="S42" s="843"/>
      <c r="T42" s="843"/>
      <c r="U42" s="843"/>
      <c r="V42" s="843"/>
      <c r="W42" s="843"/>
      <c r="X42" s="843"/>
      <c r="Y42" s="843"/>
      <c r="Z42" s="843"/>
      <c r="AA42" s="843"/>
      <c r="AB42" s="843"/>
      <c r="AC42" s="843"/>
      <c r="AD42" s="843"/>
      <c r="AE42" s="843"/>
      <c r="AF42" s="843"/>
      <c r="AG42" s="843"/>
      <c r="AH42" s="843"/>
      <c r="AI42" s="843"/>
      <c r="AJ42" s="843"/>
      <c r="AK42" s="843"/>
      <c r="AL42" s="843"/>
      <c r="AM42" s="843"/>
      <c r="AN42" s="843"/>
      <c r="AO42" s="843"/>
      <c r="AP42" s="843"/>
      <c r="AQ42" s="843"/>
      <c r="AR42" s="843"/>
      <c r="AS42" s="843"/>
      <c r="AT42" s="843"/>
      <c r="AU42" s="844"/>
    </row>
    <row r="43" spans="1:48" s="238" customFormat="1" ht="24.95" hidden="1" customHeight="1" x14ac:dyDescent="0.4">
      <c r="B43" s="842" t="s">
        <v>270</v>
      </c>
      <c r="C43" s="843"/>
      <c r="D43" s="843"/>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3"/>
      <c r="AL43" s="843"/>
      <c r="AM43" s="843"/>
      <c r="AN43" s="843"/>
      <c r="AO43" s="843"/>
      <c r="AP43" s="843"/>
      <c r="AQ43" s="843"/>
      <c r="AR43" s="843"/>
      <c r="AS43" s="843"/>
      <c r="AT43" s="843"/>
      <c r="AU43" s="844"/>
    </row>
    <row r="44" spans="1:48" s="238" customFormat="1" ht="24.95" hidden="1" customHeight="1" x14ac:dyDescent="0.4">
      <c r="B44" s="845"/>
      <c r="C44" s="843"/>
      <c r="D44" s="843"/>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3"/>
      <c r="AL44" s="843"/>
      <c r="AM44" s="843"/>
      <c r="AN44" s="843"/>
      <c r="AO44" s="843"/>
      <c r="AP44" s="843"/>
      <c r="AQ44" s="843"/>
      <c r="AR44" s="843"/>
      <c r="AS44" s="843"/>
      <c r="AT44" s="843"/>
      <c r="AU44" s="844"/>
    </row>
    <row r="45" spans="1:48" s="238" customFormat="1" ht="24.95" customHeight="1" x14ac:dyDescent="0.4">
      <c r="B45" s="842" t="s">
        <v>271</v>
      </c>
      <c r="C45" s="843"/>
      <c r="D45" s="843"/>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3"/>
      <c r="AL45" s="843"/>
      <c r="AM45" s="843"/>
      <c r="AN45" s="843"/>
      <c r="AO45" s="843"/>
      <c r="AP45" s="843"/>
      <c r="AQ45" s="843"/>
      <c r="AR45" s="843"/>
      <c r="AS45" s="843"/>
      <c r="AT45" s="843"/>
      <c r="AU45" s="844"/>
    </row>
    <row r="46" spans="1:48" s="238" customFormat="1" ht="24.95" customHeight="1" thickBot="1" x14ac:dyDescent="0.45">
      <c r="B46" s="846"/>
      <c r="C46" s="847"/>
      <c r="D46" s="847"/>
      <c r="E46" s="847"/>
      <c r="F46" s="847"/>
      <c r="G46" s="847"/>
      <c r="H46" s="847"/>
      <c r="I46" s="847"/>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847"/>
      <c r="AH46" s="847"/>
      <c r="AI46" s="847"/>
      <c r="AJ46" s="847"/>
      <c r="AK46" s="847"/>
      <c r="AL46" s="847"/>
      <c r="AM46" s="847"/>
      <c r="AN46" s="847"/>
      <c r="AO46" s="847"/>
      <c r="AP46" s="847"/>
      <c r="AQ46" s="847"/>
      <c r="AR46" s="847"/>
      <c r="AS46" s="847"/>
      <c r="AT46" s="847"/>
      <c r="AU46" s="848"/>
    </row>
    <row r="47" spans="1:48" ht="24.95" customHeight="1" thickTop="1" x14ac:dyDescent="0.4"/>
    <row r="48" spans="1:48" ht="24.95" customHeight="1" x14ac:dyDescent="0.4"/>
    <row r="49" ht="24.95" customHeight="1" x14ac:dyDescent="0.4"/>
    <row r="50" ht="24.95" customHeight="1" x14ac:dyDescent="0.4"/>
    <row r="51" ht="24.95" customHeight="1" x14ac:dyDescent="0.4"/>
    <row r="52" ht="24.95" customHeight="1" x14ac:dyDescent="0.4"/>
    <row r="53" ht="24.95" customHeight="1" x14ac:dyDescent="0.4"/>
  </sheetData>
  <sheetProtection algorithmName="SHA-512" hashValue="owgFMnMGnMxHasu5pHQ+BgURpIFXntjaVIjJdyhxLgTEt2C++dvE7rKruSN16GvV+c3FXC6T10BHiTVDtGl42w==" saltValue="IN1sdoF4soYtCrSmsUKkig==" spinCount="100000" sheet="1" objects="1" scenarios="1"/>
  <mergeCells count="68">
    <mergeCell ref="B39:AU40"/>
    <mergeCell ref="B41:AU42"/>
    <mergeCell ref="B43:AU44"/>
    <mergeCell ref="B45:AU46"/>
    <mergeCell ref="B37:AU38"/>
    <mergeCell ref="AF30:AU30"/>
    <mergeCell ref="A32:AV32"/>
    <mergeCell ref="B34:E34"/>
    <mergeCell ref="F34:I34"/>
    <mergeCell ref="J34:K34"/>
    <mergeCell ref="B30:I30"/>
    <mergeCell ref="J30:M30"/>
    <mergeCell ref="N30:Q30"/>
    <mergeCell ref="R30:U30"/>
    <mergeCell ref="V30:Y30"/>
    <mergeCell ref="Z30:AC30"/>
    <mergeCell ref="Z28:AC28"/>
    <mergeCell ref="B35:E35"/>
    <mergeCell ref="F35:I35"/>
    <mergeCell ref="J35:K35"/>
    <mergeCell ref="AD30:AE30"/>
    <mergeCell ref="V26:Y26"/>
    <mergeCell ref="AD28:AE28"/>
    <mergeCell ref="AF28:AU28"/>
    <mergeCell ref="B29:I29"/>
    <mergeCell ref="J29:M29"/>
    <mergeCell ref="N29:Q29"/>
    <mergeCell ref="R29:U29"/>
    <mergeCell ref="V29:Y29"/>
    <mergeCell ref="Z29:AC29"/>
    <mergeCell ref="AD29:AE29"/>
    <mergeCell ref="AF29:AU29"/>
    <mergeCell ref="B28:I28"/>
    <mergeCell ref="J28:M28"/>
    <mergeCell ref="N28:Q28"/>
    <mergeCell ref="R28:U28"/>
    <mergeCell ref="V28:Y28"/>
    <mergeCell ref="T6:AU7"/>
    <mergeCell ref="Z26:AC26"/>
    <mergeCell ref="AD26:AE26"/>
    <mergeCell ref="AF26:AU26"/>
    <mergeCell ref="B27:I27"/>
    <mergeCell ref="J27:M27"/>
    <mergeCell ref="N27:Q27"/>
    <mergeCell ref="R27:U27"/>
    <mergeCell ref="V27:Y27"/>
    <mergeCell ref="Z27:AC27"/>
    <mergeCell ref="AD27:AE27"/>
    <mergeCell ref="AF27:AU27"/>
    <mergeCell ref="B26:I26"/>
    <mergeCell ref="J26:M26"/>
    <mergeCell ref="N26:Q26"/>
    <mergeCell ref="R26:U26"/>
    <mergeCell ref="T9:AU21"/>
    <mergeCell ref="AF25:AU25"/>
    <mergeCell ref="A23:AT23"/>
    <mergeCell ref="B25:I25"/>
    <mergeCell ref="J25:M25"/>
    <mergeCell ref="N25:Q25"/>
    <mergeCell ref="R25:U25"/>
    <mergeCell ref="V25:Y25"/>
    <mergeCell ref="Z25:AC25"/>
    <mergeCell ref="AD25:AE25"/>
    <mergeCell ref="AZ4:AZ5"/>
    <mergeCell ref="AX3:AY3"/>
    <mergeCell ref="B3:P5"/>
    <mergeCell ref="AK3:AN5"/>
    <mergeCell ref="AO3:AU5"/>
  </mergeCells>
  <phoneticPr fontId="1"/>
  <conditionalFormatting sqref="AD26:AE29">
    <cfRule type="containsText" dxfId="16" priority="15" operator="containsText" text="×">
      <formula>NOT(ISERROR(SEARCH("×",AD26)))</formula>
    </cfRule>
  </conditionalFormatting>
  <conditionalFormatting sqref="AF26:AU30 BB23:BR23 AX23">
    <cfRule type="containsText" dxfId="15" priority="14" operator="containsText" text="要修正">
      <formula>NOT(ISERROR(SEARCH("要修正",AF23)))</formula>
    </cfRule>
  </conditionalFormatting>
  <conditionalFormatting sqref="AW23:AZ23">
    <cfRule type="containsText" dxfId="14" priority="13" operator="containsText" text="×">
      <formula>NOT(ISERROR(SEARCH("×",AW23)))</formula>
    </cfRule>
  </conditionalFormatting>
  <conditionalFormatting sqref="J35:K35">
    <cfRule type="containsText" dxfId="13" priority="6" operator="containsText" text="×">
      <formula>NOT(ISERROR(SEARCH("×",J35)))</formula>
    </cfRule>
  </conditionalFormatting>
  <conditionalFormatting sqref="T6">
    <cfRule type="containsText" dxfId="12" priority="5" operator="containsText" text="要修正">
      <formula>NOT(ISERROR(SEARCH("要修正",T6)))</formula>
    </cfRule>
  </conditionalFormatting>
  <conditionalFormatting sqref="A23:AT23">
    <cfRule type="containsText" dxfId="11" priority="3" operator="containsText" text="×">
      <formula>NOT(ISERROR(SEARCH("×",A23)))</formula>
    </cfRule>
  </conditionalFormatting>
  <conditionalFormatting sqref="A32:AV33">
    <cfRule type="containsText" dxfId="10" priority="2" operator="containsText" text="×">
      <formula>NOT(ISERROR(SEARCH("×",A32)))</formula>
    </cfRule>
  </conditionalFormatting>
  <conditionalFormatting sqref="AD30:AE30">
    <cfRule type="containsText" dxfId="9" priority="1" operator="containsText" text="×">
      <formula>NOT(ISERROR(SEARCH("×",AD30)))</formula>
    </cfRule>
  </conditionalFormatting>
  <pageMargins left="0.7" right="0.7" top="0.75" bottom="0.75" header="0.3" footer="0.3"/>
  <pageSetup paperSize="9" scale="46"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5" tint="0.39997558519241921"/>
    <pageSetUpPr fitToPage="1"/>
  </sheetPr>
  <dimension ref="A1:BH68"/>
  <sheetViews>
    <sheetView showGridLines="0" view="pageBreakPreview" topLeftCell="A13" zoomScale="60" zoomScaleNormal="60" workbookViewId="0">
      <selection activeCell="B15" sqref="B15:I15"/>
    </sheetView>
  </sheetViews>
  <sheetFormatPr defaultColWidth="8.625" defaultRowHeight="24" x14ac:dyDescent="0.4"/>
  <cols>
    <col min="1" max="48" width="3.625" style="1" customWidth="1"/>
    <col min="49" max="59" width="8.625" style="1"/>
    <col min="60" max="60" width="100.625" style="195" customWidth="1"/>
    <col min="61" max="16384" width="8.625" style="1"/>
  </cols>
  <sheetData>
    <row r="1" spans="1:60" x14ac:dyDescent="0.4">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t="s">
        <v>312</v>
      </c>
      <c r="AX1" s="235" t="s">
        <v>313</v>
      </c>
    </row>
    <row r="2" spans="1:60" ht="23.1" customHeight="1" x14ac:dyDescent="0.4">
      <c r="B2" s="874" t="s">
        <v>282</v>
      </c>
      <c r="C2" s="519"/>
      <c r="D2" s="519"/>
      <c r="E2" s="519"/>
      <c r="F2" s="519"/>
      <c r="G2" s="519"/>
      <c r="H2" s="519"/>
      <c r="I2" s="519"/>
      <c r="J2" s="519"/>
      <c r="K2" s="519"/>
      <c r="L2" s="519"/>
      <c r="M2" s="519"/>
      <c r="N2" s="519"/>
      <c r="O2" s="519"/>
      <c r="P2" s="519"/>
      <c r="Q2" s="519"/>
      <c r="R2" s="519"/>
      <c r="S2" s="519"/>
      <c r="T2" s="519"/>
      <c r="U2" s="519"/>
      <c r="V2" s="519"/>
      <c r="W2" s="519"/>
      <c r="AG2" s="592" t="s">
        <v>157</v>
      </c>
      <c r="AH2" s="522"/>
      <c r="AI2" s="522"/>
      <c r="AJ2" s="522"/>
      <c r="AK2" s="522"/>
      <c r="AL2" s="522"/>
      <c r="AM2" s="522"/>
      <c r="AN2" s="522"/>
      <c r="AO2" s="887">
        <f>AQ20</f>
        <v>0</v>
      </c>
      <c r="AP2" s="462"/>
      <c r="AQ2" s="462"/>
      <c r="AR2" s="462"/>
      <c r="AS2" s="462"/>
      <c r="AT2" s="462"/>
      <c r="AU2" s="463"/>
      <c r="AW2" s="235" t="str">
        <f>AW20</f>
        <v>○</v>
      </c>
      <c r="AX2" s="859" t="str">
        <f xml:space="preserve">
IF(COUNTIF(AW2:AW4,"○")=3,"○",
IF(COUNTIF(AW2:AW4,"×")&gt;=1,"×",
IF(AND(COUNTIF(AW2:AW4,"◎")&gt;=1,COUNTIF(AW2:AW4,"×")=0),"◎")))</f>
        <v>○</v>
      </c>
      <c r="BF2" s="234" t="s">
        <v>154</v>
      </c>
      <c r="BG2" s="234" t="s">
        <v>129</v>
      </c>
      <c r="BH2" s="217" t="s">
        <v>130</v>
      </c>
    </row>
    <row r="3" spans="1:60" ht="23.1" customHeight="1" x14ac:dyDescent="0.4">
      <c r="B3" s="874"/>
      <c r="C3" s="519"/>
      <c r="D3" s="519"/>
      <c r="E3" s="519"/>
      <c r="F3" s="519"/>
      <c r="G3" s="519"/>
      <c r="H3" s="519"/>
      <c r="I3" s="519"/>
      <c r="J3" s="519"/>
      <c r="K3" s="519"/>
      <c r="L3" s="519"/>
      <c r="M3" s="519"/>
      <c r="N3" s="519"/>
      <c r="O3" s="519"/>
      <c r="P3" s="519"/>
      <c r="Q3" s="519"/>
      <c r="R3" s="519"/>
      <c r="S3" s="519"/>
      <c r="T3" s="519"/>
      <c r="U3" s="519"/>
      <c r="V3" s="519"/>
      <c r="W3" s="519"/>
      <c r="AG3" s="592" t="s">
        <v>160</v>
      </c>
      <c r="AH3" s="522"/>
      <c r="AI3" s="522"/>
      <c r="AJ3" s="522"/>
      <c r="AK3" s="522"/>
      <c r="AL3" s="522"/>
      <c r="AM3" s="522"/>
      <c r="AN3" s="522"/>
      <c r="AO3" s="887">
        <f>AQ36</f>
        <v>0</v>
      </c>
      <c r="AP3" s="462"/>
      <c r="AQ3" s="462"/>
      <c r="AR3" s="462"/>
      <c r="AS3" s="462"/>
      <c r="AT3" s="462"/>
      <c r="AU3" s="463"/>
      <c r="AW3" s="235" t="str">
        <f>AW36</f>
        <v>○</v>
      </c>
      <c r="AX3" s="494"/>
      <c r="BF3" s="236"/>
      <c r="BG3" s="234"/>
      <c r="BH3" s="217"/>
    </row>
    <row r="4" spans="1:60" ht="23.1" customHeight="1" thickBot="1" x14ac:dyDescent="0.45">
      <c r="B4" s="874"/>
      <c r="C4" s="519"/>
      <c r="D4" s="519"/>
      <c r="E4" s="519"/>
      <c r="F4" s="519"/>
      <c r="G4" s="519"/>
      <c r="H4" s="519"/>
      <c r="I4" s="519"/>
      <c r="J4" s="519"/>
      <c r="K4" s="519"/>
      <c r="L4" s="519"/>
      <c r="M4" s="519"/>
      <c r="N4" s="519"/>
      <c r="O4" s="519"/>
      <c r="P4" s="519"/>
      <c r="Q4" s="519"/>
      <c r="R4" s="519"/>
      <c r="S4" s="519"/>
      <c r="T4" s="519"/>
      <c r="U4" s="519"/>
      <c r="V4" s="519"/>
      <c r="W4" s="519"/>
      <c r="AG4" s="875" t="s">
        <v>283</v>
      </c>
      <c r="AH4" s="876"/>
      <c r="AI4" s="876"/>
      <c r="AJ4" s="876"/>
      <c r="AK4" s="876"/>
      <c r="AL4" s="876"/>
      <c r="AM4" s="876"/>
      <c r="AN4" s="876"/>
      <c r="AO4" s="854">
        <f>AQ62</f>
        <v>0</v>
      </c>
      <c r="AP4" s="855"/>
      <c r="AQ4" s="855"/>
      <c r="AR4" s="855"/>
      <c r="AS4" s="855"/>
      <c r="AT4" s="855"/>
      <c r="AU4" s="856"/>
      <c r="AW4" s="235" t="str">
        <f>AW62</f>
        <v>○</v>
      </c>
      <c r="AX4" s="494"/>
      <c r="BF4" s="236"/>
      <c r="BG4" s="234"/>
      <c r="BH4" s="217"/>
    </row>
    <row r="5" spans="1:60" ht="24.75" thickTop="1" x14ac:dyDescent="0.4">
      <c r="B5" s="519"/>
      <c r="C5" s="519"/>
      <c r="D5" s="519"/>
      <c r="E5" s="519"/>
      <c r="F5" s="519"/>
      <c r="G5" s="519"/>
      <c r="H5" s="519"/>
      <c r="I5" s="519"/>
      <c r="J5" s="519"/>
      <c r="K5" s="519"/>
      <c r="L5" s="519"/>
      <c r="M5" s="519"/>
      <c r="N5" s="519"/>
      <c r="O5" s="519"/>
      <c r="P5" s="519"/>
      <c r="Q5" s="519"/>
      <c r="R5" s="519"/>
      <c r="S5" s="519"/>
      <c r="T5" s="519"/>
      <c r="U5" s="519"/>
      <c r="V5" s="519"/>
      <c r="W5" s="519"/>
      <c r="AG5" s="865" t="s">
        <v>41</v>
      </c>
      <c r="AH5" s="866"/>
      <c r="AI5" s="866"/>
      <c r="AJ5" s="866"/>
      <c r="AK5" s="866"/>
      <c r="AL5" s="866"/>
      <c r="AM5" s="866"/>
      <c r="AN5" s="866"/>
      <c r="AO5" s="888">
        <f>SUM(AO2:AU4)</f>
        <v>0</v>
      </c>
      <c r="AP5" s="889"/>
      <c r="AQ5" s="889"/>
      <c r="AR5" s="889"/>
      <c r="AS5" s="889"/>
      <c r="AT5" s="889"/>
      <c r="AU5" s="890"/>
      <c r="BF5" s="860"/>
      <c r="BG5" s="234" t="str">
        <f>BG20</f>
        <v>○</v>
      </c>
      <c r="BH5" s="216" t="str">
        <f>"医療機器："&amp;BH20</f>
        <v>医療機器：申請しない場合は入力不要です。</v>
      </c>
    </row>
    <row r="6" spans="1:60" ht="20.100000000000001" customHeight="1" x14ac:dyDescent="0.4">
      <c r="BF6" s="861"/>
      <c r="BG6" s="234" t="b">
        <f>BG36</f>
        <v>0</v>
      </c>
      <c r="BH6" s="216" t="str">
        <f>"サーモグラフィーカメラ："&amp;BH36</f>
        <v>サーモグラフィーカメラ：FALSE</v>
      </c>
    </row>
    <row r="7" spans="1:60" ht="24.95" customHeight="1" x14ac:dyDescent="0.4">
      <c r="B7" s="867" t="s">
        <v>140</v>
      </c>
      <c r="C7" s="868"/>
      <c r="D7" s="868"/>
      <c r="E7" s="868"/>
      <c r="F7" s="868"/>
      <c r="G7" s="868"/>
      <c r="H7" s="868"/>
      <c r="I7" s="868"/>
      <c r="J7" s="868"/>
      <c r="K7" s="868"/>
      <c r="L7" s="868"/>
      <c r="M7" s="868"/>
      <c r="N7" s="868"/>
      <c r="O7" s="868"/>
      <c r="P7" s="868"/>
      <c r="Q7" s="868"/>
      <c r="R7" s="868"/>
      <c r="S7" s="868"/>
      <c r="T7" s="868"/>
      <c r="U7" s="868"/>
      <c r="V7" s="868"/>
      <c r="W7" s="868"/>
      <c r="X7" s="868"/>
      <c r="Y7" s="868"/>
      <c r="Z7" s="868"/>
      <c r="AA7" s="868"/>
      <c r="AB7" s="868"/>
      <c r="AC7" s="868"/>
      <c r="AD7" s="868"/>
      <c r="AE7" s="868"/>
      <c r="AF7" s="868"/>
      <c r="AG7" s="868"/>
      <c r="AH7" s="868"/>
      <c r="AI7" s="868"/>
      <c r="AJ7" s="868"/>
      <c r="AK7" s="868"/>
      <c r="AL7" s="519"/>
      <c r="AM7" s="519"/>
      <c r="AN7" s="519"/>
      <c r="AO7" s="519"/>
      <c r="AP7" s="519"/>
      <c r="AQ7" s="519"/>
      <c r="AR7" s="519"/>
      <c r="AS7" s="519"/>
      <c r="AT7" s="519"/>
      <c r="AU7" s="519"/>
      <c r="BF7" s="66"/>
      <c r="BG7" s="66"/>
      <c r="BH7" s="196"/>
    </row>
    <row r="8" spans="1:60" x14ac:dyDescent="0.4">
      <c r="B8" s="869" t="str">
        <f>"１．医療機器（パルスオキシメーター等）　【判定】"&amp;AW20&amp;"（"&amp;VLOOKUP(AW20,AW20:AZ20,4,FALSE)&amp;"）"</f>
        <v>１．医療機器（パルスオキシメーター等）　【判定】○（申請しない場合は入力不要です。）</v>
      </c>
      <c r="C8" s="519"/>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row>
    <row r="9" spans="1:60" x14ac:dyDescent="0.4">
      <c r="B9" s="857" t="s">
        <v>121</v>
      </c>
      <c r="C9" s="858"/>
      <c r="D9" s="858"/>
      <c r="E9" s="858"/>
      <c r="F9" s="858"/>
      <c r="G9" s="858"/>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row>
    <row r="10" spans="1:60" x14ac:dyDescent="0.4">
      <c r="B10" s="197" t="s">
        <v>123</v>
      </c>
      <c r="C10" s="870" t="s">
        <v>274</v>
      </c>
      <c r="D10" s="871"/>
      <c r="E10" s="871"/>
      <c r="F10" s="871"/>
      <c r="G10" s="871"/>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2"/>
    </row>
    <row r="11" spans="1:60" x14ac:dyDescent="0.4">
      <c r="B11" s="198" t="s">
        <v>275</v>
      </c>
      <c r="C11" s="852" t="s">
        <v>276</v>
      </c>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873"/>
    </row>
    <row r="12" spans="1:60" x14ac:dyDescent="0.4">
      <c r="B12" s="199"/>
      <c r="C12" s="857" t="s">
        <v>277</v>
      </c>
      <c r="D12" s="858"/>
      <c r="E12" s="858"/>
      <c r="F12" s="858"/>
      <c r="G12" s="858"/>
      <c r="H12" s="858"/>
      <c r="I12" s="858"/>
      <c r="J12" s="858"/>
      <c r="K12" s="858"/>
      <c r="L12" s="858"/>
      <c r="M12" s="858"/>
      <c r="N12" s="858"/>
      <c r="O12" s="858"/>
      <c r="P12" s="858"/>
      <c r="Q12" s="858"/>
      <c r="R12" s="858"/>
      <c r="S12" s="858"/>
      <c r="T12" s="858"/>
      <c r="U12" s="858"/>
      <c r="V12" s="858"/>
      <c r="W12" s="858"/>
      <c r="X12" s="858"/>
      <c r="Y12" s="858"/>
      <c r="Z12" s="858"/>
      <c r="AA12" s="858"/>
      <c r="AB12" s="858"/>
      <c r="AC12" s="858"/>
      <c r="AD12" s="858"/>
      <c r="AE12" s="858"/>
      <c r="AF12" s="858"/>
      <c r="AG12" s="858"/>
      <c r="AH12" s="858"/>
      <c r="AI12" s="858"/>
      <c r="AJ12" s="858"/>
      <c r="AK12" s="858"/>
      <c r="AL12" s="858"/>
      <c r="AM12" s="858"/>
      <c r="AN12" s="858"/>
      <c r="AO12" s="858"/>
      <c r="AP12" s="858"/>
      <c r="AQ12" s="858"/>
      <c r="AR12" s="858"/>
      <c r="AS12" s="858"/>
      <c r="AT12" s="858"/>
      <c r="AU12" s="899"/>
    </row>
    <row r="13" spans="1:60" x14ac:dyDescent="0.4">
      <c r="B13" s="906" t="s">
        <v>278</v>
      </c>
      <c r="C13" s="521"/>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1"/>
      <c r="AQ13" s="521"/>
      <c r="AR13" s="521"/>
      <c r="AS13" s="521"/>
      <c r="AT13" s="521"/>
      <c r="AU13" s="521"/>
    </row>
    <row r="14" spans="1:60" x14ac:dyDescent="0.4">
      <c r="B14" s="881" t="s">
        <v>131</v>
      </c>
      <c r="C14" s="881"/>
      <c r="D14" s="881"/>
      <c r="E14" s="881"/>
      <c r="F14" s="881"/>
      <c r="G14" s="881"/>
      <c r="H14" s="881"/>
      <c r="I14" s="881"/>
      <c r="J14" s="882" t="s">
        <v>206</v>
      </c>
      <c r="K14" s="462"/>
      <c r="L14" s="462"/>
      <c r="M14" s="462"/>
      <c r="N14" s="462"/>
      <c r="O14" s="462"/>
      <c r="P14" s="462"/>
      <c r="Q14" s="462"/>
      <c r="R14" s="462"/>
      <c r="S14" s="462"/>
      <c r="T14" s="462"/>
      <c r="U14" s="462"/>
      <c r="V14" s="462"/>
      <c r="W14" s="462"/>
      <c r="X14" s="462"/>
      <c r="Y14" s="462"/>
      <c r="Z14" s="462"/>
      <c r="AA14" s="462"/>
      <c r="AB14" s="462"/>
      <c r="AC14" s="462"/>
      <c r="AD14" s="463"/>
      <c r="AE14" s="881" t="s">
        <v>16</v>
      </c>
      <c r="AF14" s="501"/>
      <c r="AG14" s="571" t="s">
        <v>44</v>
      </c>
      <c r="AH14" s="900"/>
      <c r="AI14" s="900"/>
      <c r="AJ14" s="900"/>
      <c r="AK14" s="900"/>
      <c r="AL14" s="571" t="s">
        <v>124</v>
      </c>
      <c r="AM14" s="900"/>
      <c r="AN14" s="900"/>
      <c r="AO14" s="900"/>
      <c r="AP14" s="900"/>
      <c r="AQ14" s="571" t="s">
        <v>125</v>
      </c>
      <c r="AR14" s="900"/>
      <c r="AS14" s="900"/>
      <c r="AT14" s="900"/>
      <c r="AU14" s="900"/>
      <c r="BG14" s="234" t="s">
        <v>129</v>
      </c>
      <c r="BH14" s="217" t="s">
        <v>130</v>
      </c>
    </row>
    <row r="15" spans="1:60" x14ac:dyDescent="0.4">
      <c r="B15" s="862"/>
      <c r="C15" s="862"/>
      <c r="D15" s="862"/>
      <c r="E15" s="862"/>
      <c r="F15" s="862"/>
      <c r="G15" s="862"/>
      <c r="H15" s="862"/>
      <c r="I15" s="862"/>
      <c r="J15" s="883"/>
      <c r="K15" s="884"/>
      <c r="L15" s="884"/>
      <c r="M15" s="884"/>
      <c r="N15" s="884"/>
      <c r="O15" s="885"/>
      <c r="P15" s="885"/>
      <c r="Q15" s="885"/>
      <c r="R15" s="885"/>
      <c r="S15" s="885"/>
      <c r="T15" s="885"/>
      <c r="U15" s="885"/>
      <c r="V15" s="885"/>
      <c r="W15" s="885"/>
      <c r="X15" s="885"/>
      <c r="Y15" s="885"/>
      <c r="Z15" s="885"/>
      <c r="AA15" s="885"/>
      <c r="AB15" s="885"/>
      <c r="AC15" s="885"/>
      <c r="AD15" s="886"/>
      <c r="AE15" s="863"/>
      <c r="AF15" s="864"/>
      <c r="AG15" s="893"/>
      <c r="AH15" s="894"/>
      <c r="AI15" s="894"/>
      <c r="AJ15" s="894"/>
      <c r="AK15" s="894"/>
      <c r="AL15" s="877">
        <f>ROUNDDOWN(AG15*1.1,0)</f>
        <v>0</v>
      </c>
      <c r="AM15" s="878"/>
      <c r="AN15" s="878"/>
      <c r="AO15" s="878"/>
      <c r="AP15" s="878"/>
      <c r="AQ15" s="879">
        <f>AL15*AE15</f>
        <v>0</v>
      </c>
      <c r="AR15" s="880"/>
      <c r="AS15" s="880"/>
      <c r="AT15" s="880"/>
      <c r="AU15" s="880"/>
      <c r="AW15" s="235" t="str">
        <f xml:space="preserve">
IF(COUNTA(B15:AK15)=0,"○",
IF(AND(COUNTA(B15:AK15)&gt;=1,COUNTA(B15:AK15)&lt;4),"×",
IF(COUNTA(B15:AK15)=4,"◎")))</f>
        <v>○</v>
      </c>
      <c r="BG15" s="234" t="str">
        <f xml:space="preserve">
IF(COUNTA(B15:AK15)=5,"◎",
IF(AND(COUNTA(B15:AK15)&gt;=1,COUNTA(B15:AK15)&lt;5),"×",
IF(COUNTA(B15:AK15)=0,"○")))</f>
        <v>○</v>
      </c>
      <c r="BH15" s="216" t="str">
        <f xml:space="preserve">
IF(COUNTA(B15:AK15)=5,"適切に入力がされました。",
IF(AND(COUNTA(B15:AK15)&gt;=1,COUNTA(B15:AK15)&lt;5),"【要修正】未入力の箇所があります。",
IF(COUNTA(B15:AK15)=0,"申請しない場合は入力不要です。")))</f>
        <v>申請しない場合は入力不要です。</v>
      </c>
    </row>
    <row r="16" spans="1:60" x14ac:dyDescent="0.4">
      <c r="B16" s="862"/>
      <c r="C16" s="862"/>
      <c r="D16" s="862"/>
      <c r="E16" s="862"/>
      <c r="F16" s="862"/>
      <c r="G16" s="862"/>
      <c r="H16" s="862"/>
      <c r="I16" s="862"/>
      <c r="J16" s="883"/>
      <c r="K16" s="884"/>
      <c r="L16" s="884"/>
      <c r="M16" s="884"/>
      <c r="N16" s="884"/>
      <c r="O16" s="885"/>
      <c r="P16" s="885"/>
      <c r="Q16" s="885"/>
      <c r="R16" s="885"/>
      <c r="S16" s="885"/>
      <c r="T16" s="885"/>
      <c r="U16" s="885"/>
      <c r="V16" s="885"/>
      <c r="W16" s="885"/>
      <c r="X16" s="885"/>
      <c r="Y16" s="885"/>
      <c r="Z16" s="885"/>
      <c r="AA16" s="885"/>
      <c r="AB16" s="885"/>
      <c r="AC16" s="885"/>
      <c r="AD16" s="886"/>
      <c r="AE16" s="863"/>
      <c r="AF16" s="864"/>
      <c r="AG16" s="893"/>
      <c r="AH16" s="894"/>
      <c r="AI16" s="894"/>
      <c r="AJ16" s="894"/>
      <c r="AK16" s="894"/>
      <c r="AL16" s="877">
        <f>ROUNDDOWN(AG16*1.1,0)</f>
        <v>0</v>
      </c>
      <c r="AM16" s="878"/>
      <c r="AN16" s="878"/>
      <c r="AO16" s="878"/>
      <c r="AP16" s="878"/>
      <c r="AQ16" s="879">
        <f>AL16*AE16</f>
        <v>0</v>
      </c>
      <c r="AR16" s="880"/>
      <c r="AS16" s="880"/>
      <c r="AT16" s="880"/>
      <c r="AU16" s="880"/>
      <c r="AW16" s="235" t="str">
        <f t="shared" ref="AW16:AW19" si="0" xml:space="preserve">
IF(COUNTA(B16:AK16)=0,"○",
IF(AND(COUNTA(B16:AK16)&gt;=1,COUNTA(B16:AK16)&lt;4),"×",
IF(COUNTA(B16:AK16)=4,"◎")))</f>
        <v>○</v>
      </c>
      <c r="BG16" s="234" t="str">
        <f xml:space="preserve">
IF(COUNTA(B16:AK16)=5,"◎",
IF(AND(COUNTA(B16:AK16)&gt;=1,COUNTA(B16:AK16)&lt;5),"×",
IF(COUNTA(B16:AK16)=0,"○")))</f>
        <v>○</v>
      </c>
      <c r="BH16" s="216" t="str">
        <f xml:space="preserve">
IF(COUNTA(B16:AK16)=5,"適切に入力がされました。",
IF(AND(COUNTA(B16:AK16)&gt;=1,COUNTA(B16:AK16)&lt;5),"【要修正】未入力の箇所があります。",
IF(COUNTA(B16:AK16)=0,"申請しない場合は入力不要です。")))</f>
        <v>申請しない場合は入力不要です。</v>
      </c>
    </row>
    <row r="17" spans="2:60" x14ac:dyDescent="0.4">
      <c r="B17" s="862"/>
      <c r="C17" s="862"/>
      <c r="D17" s="862"/>
      <c r="E17" s="862"/>
      <c r="F17" s="862"/>
      <c r="G17" s="862"/>
      <c r="H17" s="862"/>
      <c r="I17" s="862"/>
      <c r="J17" s="883"/>
      <c r="K17" s="884"/>
      <c r="L17" s="884"/>
      <c r="M17" s="884"/>
      <c r="N17" s="884"/>
      <c r="O17" s="885"/>
      <c r="P17" s="885"/>
      <c r="Q17" s="885"/>
      <c r="R17" s="885"/>
      <c r="S17" s="885"/>
      <c r="T17" s="885"/>
      <c r="U17" s="885"/>
      <c r="V17" s="885"/>
      <c r="W17" s="885"/>
      <c r="X17" s="885"/>
      <c r="Y17" s="885"/>
      <c r="Z17" s="885"/>
      <c r="AA17" s="885"/>
      <c r="AB17" s="885"/>
      <c r="AC17" s="885"/>
      <c r="AD17" s="886"/>
      <c r="AE17" s="863"/>
      <c r="AF17" s="864"/>
      <c r="AG17" s="893"/>
      <c r="AH17" s="894"/>
      <c r="AI17" s="894"/>
      <c r="AJ17" s="894"/>
      <c r="AK17" s="894"/>
      <c r="AL17" s="877">
        <f>ROUNDDOWN(AG17*1.1,0)</f>
        <v>0</v>
      </c>
      <c r="AM17" s="878"/>
      <c r="AN17" s="878"/>
      <c r="AO17" s="878"/>
      <c r="AP17" s="878"/>
      <c r="AQ17" s="879">
        <f>AL17*AE17</f>
        <v>0</v>
      </c>
      <c r="AR17" s="880"/>
      <c r="AS17" s="880"/>
      <c r="AT17" s="880"/>
      <c r="AU17" s="880"/>
      <c r="AW17" s="235" t="str">
        <f t="shared" si="0"/>
        <v>○</v>
      </c>
      <c r="BG17" s="234" t="str">
        <f xml:space="preserve">
IF(COUNTA(B17:AK17)=5,"◎",
IF(AND(COUNTA(B17:AK17)&gt;=1,COUNTA(B17:AK17)&lt;5),"×",
IF(COUNTA(B17:AK17)=0,"○")))</f>
        <v>○</v>
      </c>
      <c r="BH17" s="216" t="str">
        <f xml:space="preserve">
IF(COUNTA(B17:AK17)=5,"適切に入力がされました。",
IF(AND(COUNTA(B17:AK17)&gt;=1,COUNTA(B17:AK17)&lt;5),"【要修正】未入力の箇所があります。",
IF(COUNTA(B17:AK17)=0,"申請しない場合は入力不要です。")))</f>
        <v>申請しない場合は入力不要です。</v>
      </c>
    </row>
    <row r="18" spans="2:60" x14ac:dyDescent="0.4">
      <c r="B18" s="862"/>
      <c r="C18" s="862"/>
      <c r="D18" s="862"/>
      <c r="E18" s="862"/>
      <c r="F18" s="862"/>
      <c r="G18" s="862"/>
      <c r="H18" s="862"/>
      <c r="I18" s="862"/>
      <c r="J18" s="883"/>
      <c r="K18" s="884"/>
      <c r="L18" s="884"/>
      <c r="M18" s="884"/>
      <c r="N18" s="884"/>
      <c r="O18" s="885"/>
      <c r="P18" s="885"/>
      <c r="Q18" s="885"/>
      <c r="R18" s="885"/>
      <c r="S18" s="885"/>
      <c r="T18" s="885"/>
      <c r="U18" s="885"/>
      <c r="V18" s="885"/>
      <c r="W18" s="885"/>
      <c r="X18" s="885"/>
      <c r="Y18" s="885"/>
      <c r="Z18" s="885"/>
      <c r="AA18" s="885"/>
      <c r="AB18" s="885"/>
      <c r="AC18" s="885"/>
      <c r="AD18" s="886"/>
      <c r="AE18" s="863"/>
      <c r="AF18" s="864"/>
      <c r="AG18" s="893"/>
      <c r="AH18" s="894"/>
      <c r="AI18" s="894"/>
      <c r="AJ18" s="894"/>
      <c r="AK18" s="894"/>
      <c r="AL18" s="877">
        <f>ROUNDDOWN(AG18*1.1,0)</f>
        <v>0</v>
      </c>
      <c r="AM18" s="878"/>
      <c r="AN18" s="878"/>
      <c r="AO18" s="878"/>
      <c r="AP18" s="878"/>
      <c r="AQ18" s="879">
        <f>AL18*AE18</f>
        <v>0</v>
      </c>
      <c r="AR18" s="880"/>
      <c r="AS18" s="880"/>
      <c r="AT18" s="880"/>
      <c r="AU18" s="880"/>
      <c r="AW18" s="235" t="str">
        <f t="shared" si="0"/>
        <v>○</v>
      </c>
      <c r="BG18" s="234" t="str">
        <f xml:space="preserve">
IF(COUNTA(B18:AK18)=5,"◎",
IF(AND(COUNTA(B18:AK18)&gt;=1,COUNTA(B18:AK18)&lt;5),"×",
IF(COUNTA(B18:AK18)=0,"○")))</f>
        <v>○</v>
      </c>
      <c r="BH18" s="216" t="str">
        <f xml:space="preserve">
IF(COUNTA(B18:AK18)=5,"適切に入力がされました。",
IF(AND(COUNTA(B18:AK18)&gt;=1,COUNTA(B18:AK18)&lt;5),"【要修正】未入力の箇所があります。",
IF(COUNTA(B18:AK18)=0,"申請しない場合は入力不要です。")))</f>
        <v>申請しない場合は入力不要です。</v>
      </c>
    </row>
    <row r="19" spans="2:60" ht="24.75" thickBot="1" x14ac:dyDescent="0.45">
      <c r="B19" s="862"/>
      <c r="C19" s="862"/>
      <c r="D19" s="862"/>
      <c r="E19" s="862"/>
      <c r="F19" s="862"/>
      <c r="G19" s="862"/>
      <c r="H19" s="862"/>
      <c r="I19" s="862"/>
      <c r="J19" s="883"/>
      <c r="K19" s="884"/>
      <c r="L19" s="884"/>
      <c r="M19" s="884"/>
      <c r="N19" s="884"/>
      <c r="O19" s="885"/>
      <c r="P19" s="885"/>
      <c r="Q19" s="885"/>
      <c r="R19" s="885"/>
      <c r="S19" s="885"/>
      <c r="T19" s="885"/>
      <c r="U19" s="885"/>
      <c r="V19" s="885"/>
      <c r="W19" s="885"/>
      <c r="X19" s="885"/>
      <c r="Y19" s="885"/>
      <c r="Z19" s="885"/>
      <c r="AA19" s="885"/>
      <c r="AB19" s="885"/>
      <c r="AC19" s="885"/>
      <c r="AD19" s="886"/>
      <c r="AE19" s="863"/>
      <c r="AF19" s="864"/>
      <c r="AG19" s="893"/>
      <c r="AH19" s="894"/>
      <c r="AI19" s="894"/>
      <c r="AJ19" s="894"/>
      <c r="AK19" s="894"/>
      <c r="AL19" s="895">
        <f>ROUNDDOWN(AG19*1.1,0)</f>
        <v>0</v>
      </c>
      <c r="AM19" s="896"/>
      <c r="AN19" s="896"/>
      <c r="AO19" s="896"/>
      <c r="AP19" s="896"/>
      <c r="AQ19" s="879">
        <f>AL19*AE19</f>
        <v>0</v>
      </c>
      <c r="AR19" s="880"/>
      <c r="AS19" s="880"/>
      <c r="AT19" s="880"/>
      <c r="AU19" s="880"/>
      <c r="AW19" s="235" t="str">
        <f t="shared" si="0"/>
        <v>○</v>
      </c>
      <c r="BG19" s="234" t="str">
        <f xml:space="preserve">
IF(COUNTA(B19:AK19)=5,"◎",
IF(AND(COUNTA(B19:AK19)&gt;=1,COUNTA(B19:AK19)&lt;5),"×",
IF(COUNTA(B19:AK19)=0,"○")))</f>
        <v>○</v>
      </c>
      <c r="BH19" s="216" t="str">
        <f xml:space="preserve">
IF(COUNTA(B19:AK19)=5,"適切に入力がされました。",
IF(AND(COUNTA(B19:AK19)&gt;=1,COUNTA(B19:AK19)&lt;5),"【要修正】未入力の箇所があります。",
IF(COUNTA(B19:AK19)=0,"申請しない場合は入力不要です。")))</f>
        <v>申請しない場合は入力不要です。</v>
      </c>
    </row>
    <row r="20" spans="2:60" ht="24.75" thickTop="1" x14ac:dyDescent="0.4">
      <c r="B20" s="907"/>
      <c r="C20" s="905"/>
      <c r="D20" s="905"/>
      <c r="E20" s="905"/>
      <c r="F20" s="905"/>
      <c r="G20" s="905"/>
      <c r="H20" s="905"/>
      <c r="I20" s="905"/>
      <c r="J20" s="905"/>
      <c r="K20" s="905"/>
      <c r="L20" s="905"/>
      <c r="M20" s="905"/>
      <c r="N20" s="905"/>
      <c r="O20" s="905"/>
      <c r="P20" s="905"/>
      <c r="Q20" s="905"/>
      <c r="R20" s="905"/>
      <c r="S20" s="905"/>
      <c r="T20" s="905"/>
      <c r="U20" s="905"/>
      <c r="V20" s="905"/>
      <c r="W20" s="905"/>
      <c r="X20" s="905"/>
      <c r="Y20" s="905"/>
      <c r="Z20" s="905"/>
      <c r="AA20" s="905"/>
      <c r="AB20" s="905"/>
      <c r="AC20" s="905"/>
      <c r="AD20" s="905"/>
      <c r="AE20" s="905"/>
      <c r="AF20" s="905"/>
      <c r="AG20" s="905"/>
      <c r="AH20" s="905"/>
      <c r="AI20" s="905"/>
      <c r="AJ20" s="905"/>
      <c r="AK20" s="905"/>
      <c r="AL20" s="901" t="s">
        <v>280</v>
      </c>
      <c r="AM20" s="902"/>
      <c r="AN20" s="902"/>
      <c r="AO20" s="902"/>
      <c r="AP20" s="903"/>
      <c r="AQ20" s="897">
        <f>IF(AW20="◎",SUM(AQ15:AU19),0)</f>
        <v>0</v>
      </c>
      <c r="AR20" s="898"/>
      <c r="AS20" s="898"/>
      <c r="AT20" s="898"/>
      <c r="AU20" s="898"/>
      <c r="AW20" s="235" t="str">
        <f xml:space="preserve">
IF(COUNTIF(AW15:AW19,"○")=5,"○",
IF(COUNTIF(AW15:AW19,"×")&gt;=1,"×",
IF(AND(COUNTIF(AW15:AW19,"◎")&gt;=1,COUNTIF(AW15:AW19,"×")=0),"◎")))</f>
        <v>○</v>
      </c>
      <c r="AX20" s="1" t="s">
        <v>297</v>
      </c>
      <c r="AZ20" s="1" t="str">
        <f xml:space="preserve">
IF(AW20="○","申請しない場合は入力不要です。",
IF(AW20="×","【要修正】入力不十分な箇所があります。",
IF(AW20="◎","適切に入力がされました。")))</f>
        <v>申請しない場合は入力不要です。</v>
      </c>
      <c r="BG20" s="237" t="str">
        <f xml:space="preserve">
IF(SUM(COUNTIF(BG15:BG19,"○"))=5,"○",
IF(SUM(COUNTIF(BG15:BG19,"×"))&gt;=1,"×",
IF(AND(SUM(COUNTIF(BG15:BG19,"×"))=0,SUM(COUNTIF(BG15:BG19,"◎"))&gt;=1),"◎")))</f>
        <v>○</v>
      </c>
      <c r="BH20" s="200" t="str">
        <f xml:space="preserve">
IF(SUM(COUNTIF(BG15:BG19,"○"))=5,"申請しない場合は入力不要です。",
IF(SUM(COUNTIF(BG15:BG19,"×"))&gt;=1,"【要修正】入力が不十分な箇所があるため金額が表示できません。",
IF(AND(SUM(COUNTIF(BG15:BG19,"×"))=0,SUM(COUNTIF(BG15:BG19,"◎"))&gt;=1),"適切に入力がされました。")))</f>
        <v>申請しない場合は入力不要です。</v>
      </c>
    </row>
    <row r="21" spans="2:60" ht="15" customHeight="1" thickBot="1" x14ac:dyDescent="0.45">
      <c r="BG21" s="66"/>
      <c r="BH21" s="68"/>
    </row>
    <row r="22" spans="2:60" ht="24.75" thickTop="1" x14ac:dyDescent="0.4">
      <c r="B22" s="849" t="s">
        <v>293</v>
      </c>
      <c r="C22" s="908"/>
      <c r="D22" s="908"/>
      <c r="E22" s="908"/>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9"/>
    </row>
    <row r="23" spans="2:60" x14ac:dyDescent="0.4">
      <c r="B23" s="842" t="s">
        <v>294</v>
      </c>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3"/>
      <c r="AM23" s="683"/>
      <c r="AN23" s="683"/>
      <c r="AO23" s="683"/>
      <c r="AP23" s="683"/>
      <c r="AQ23" s="683"/>
      <c r="AR23" s="683"/>
      <c r="AS23" s="683"/>
      <c r="AT23" s="683"/>
      <c r="AU23" s="910"/>
    </row>
    <row r="24" spans="2:60" x14ac:dyDescent="0.4">
      <c r="B24" s="842" t="s">
        <v>295</v>
      </c>
      <c r="C24" s="683"/>
      <c r="D24" s="683"/>
      <c r="E24" s="683"/>
      <c r="F24" s="683"/>
      <c r="G24" s="683"/>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3"/>
      <c r="AG24" s="683"/>
      <c r="AH24" s="683"/>
      <c r="AI24" s="683"/>
      <c r="AJ24" s="683"/>
      <c r="AK24" s="683"/>
      <c r="AL24" s="683"/>
      <c r="AM24" s="683"/>
      <c r="AN24" s="683"/>
      <c r="AO24" s="683"/>
      <c r="AP24" s="683"/>
      <c r="AQ24" s="683"/>
      <c r="AR24" s="683"/>
      <c r="AS24" s="683"/>
      <c r="AT24" s="683"/>
      <c r="AU24" s="910"/>
    </row>
    <row r="25" spans="2:60" ht="24.75" thickBot="1" x14ac:dyDescent="0.45">
      <c r="B25" s="911" t="s">
        <v>368</v>
      </c>
      <c r="C25" s="912"/>
      <c r="D25" s="912"/>
      <c r="E25" s="912"/>
      <c r="F25" s="912"/>
      <c r="G25" s="912"/>
      <c r="H25" s="912"/>
      <c r="I25" s="912"/>
      <c r="J25" s="912"/>
      <c r="K25" s="912"/>
      <c r="L25" s="912"/>
      <c r="M25" s="912"/>
      <c r="N25" s="912"/>
      <c r="O25" s="912"/>
      <c r="P25" s="912"/>
      <c r="Q25" s="912"/>
      <c r="R25" s="912"/>
      <c r="S25" s="912"/>
      <c r="T25" s="912"/>
      <c r="U25" s="912"/>
      <c r="V25" s="912"/>
      <c r="W25" s="912"/>
      <c r="X25" s="912"/>
      <c r="Y25" s="912"/>
      <c r="Z25" s="912"/>
      <c r="AA25" s="912"/>
      <c r="AB25" s="912"/>
      <c r="AC25" s="912"/>
      <c r="AD25" s="912"/>
      <c r="AE25" s="912"/>
      <c r="AF25" s="912"/>
      <c r="AG25" s="912"/>
      <c r="AH25" s="912"/>
      <c r="AI25" s="912"/>
      <c r="AJ25" s="912"/>
      <c r="AK25" s="912"/>
      <c r="AL25" s="912"/>
      <c r="AM25" s="912"/>
      <c r="AN25" s="912"/>
      <c r="AO25" s="912"/>
      <c r="AP25" s="912"/>
      <c r="AQ25" s="912"/>
      <c r="AR25" s="912"/>
      <c r="AS25" s="912"/>
      <c r="AT25" s="912"/>
      <c r="AU25" s="913"/>
    </row>
    <row r="26" spans="2:60" ht="15" customHeight="1" thickTop="1" x14ac:dyDescent="0.4"/>
    <row r="27" spans="2:60" x14ac:dyDescent="0.4">
      <c r="B27" s="869" t="str">
        <f>"２．非接触サーモグラフィーカメラ（検温・消毒機能付き）　【判定】"&amp;AW36&amp;"（"&amp;VLOOKUP(AW36,AW36:AZ36,4,FALSE)&amp;"）"</f>
        <v>２．非接触サーモグラフィーカメラ（検温・消毒機能付き）　【判定】○（申請しない場合は入力不要です。）</v>
      </c>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9"/>
      <c r="AI27" s="519"/>
      <c r="AJ27" s="519"/>
      <c r="AK27" s="519"/>
      <c r="AL27" s="519"/>
      <c r="AM27" s="519"/>
      <c r="AN27" s="519"/>
      <c r="AO27" s="519"/>
      <c r="AP27" s="519"/>
      <c r="AQ27" s="519"/>
      <c r="AR27" s="519"/>
      <c r="AS27" s="519"/>
      <c r="AT27" s="519"/>
      <c r="AU27" s="519"/>
    </row>
    <row r="28" spans="2:60" x14ac:dyDescent="0.4">
      <c r="B28" s="1" t="s">
        <v>121</v>
      </c>
    </row>
    <row r="29" spans="2:60" x14ac:dyDescent="0.4">
      <c r="B29" s="197" t="s">
        <v>123</v>
      </c>
      <c r="C29" s="870" t="s">
        <v>279</v>
      </c>
      <c r="D29" s="871"/>
      <c r="E29" s="871"/>
      <c r="F29" s="871"/>
      <c r="G29" s="871"/>
      <c r="H29" s="871"/>
      <c r="I29" s="871"/>
      <c r="J29" s="871"/>
      <c r="K29" s="871"/>
      <c r="L29" s="871"/>
      <c r="M29" s="871"/>
      <c r="N29" s="871"/>
      <c r="O29" s="871"/>
      <c r="P29" s="871"/>
      <c r="Q29" s="871"/>
      <c r="R29" s="871"/>
      <c r="S29" s="871"/>
      <c r="T29" s="871"/>
      <c r="U29" s="871"/>
      <c r="V29" s="871"/>
      <c r="W29" s="871"/>
      <c r="X29" s="871"/>
      <c r="Y29" s="871"/>
      <c r="Z29" s="871"/>
      <c r="AA29" s="871"/>
      <c r="AB29" s="871"/>
      <c r="AC29" s="871"/>
      <c r="AD29" s="871"/>
      <c r="AE29" s="871"/>
      <c r="AF29" s="871"/>
      <c r="AG29" s="871"/>
      <c r="AH29" s="871"/>
      <c r="AI29" s="871"/>
      <c r="AJ29" s="871"/>
      <c r="AK29" s="871"/>
      <c r="AL29" s="871"/>
      <c r="AM29" s="871"/>
      <c r="AN29" s="871"/>
      <c r="AO29" s="871"/>
      <c r="AP29" s="871"/>
      <c r="AQ29" s="871"/>
      <c r="AR29" s="871"/>
      <c r="AS29" s="871"/>
      <c r="AT29" s="871"/>
      <c r="AU29" s="872"/>
    </row>
    <row r="30" spans="2:60" x14ac:dyDescent="0.4">
      <c r="B30" s="198" t="s">
        <v>122</v>
      </c>
      <c r="C30" s="852" t="s">
        <v>281</v>
      </c>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c r="AC30" s="683"/>
      <c r="AD30" s="683"/>
      <c r="AE30" s="683"/>
      <c r="AF30" s="683"/>
      <c r="AG30" s="683"/>
      <c r="AH30" s="683"/>
      <c r="AI30" s="683"/>
      <c r="AJ30" s="683"/>
      <c r="AK30" s="683"/>
      <c r="AL30" s="683"/>
      <c r="AM30" s="683"/>
      <c r="AN30" s="683"/>
      <c r="AO30" s="683"/>
      <c r="AP30" s="683"/>
      <c r="AQ30" s="683"/>
      <c r="AR30" s="683"/>
      <c r="AS30" s="683"/>
      <c r="AT30" s="683"/>
      <c r="AU30" s="873"/>
    </row>
    <row r="31" spans="2:60" x14ac:dyDescent="0.4">
      <c r="B31" s="199"/>
      <c r="C31" s="857" t="s">
        <v>387</v>
      </c>
      <c r="D31" s="858"/>
      <c r="E31" s="858"/>
      <c r="F31" s="858"/>
      <c r="G31" s="858"/>
      <c r="H31" s="858"/>
      <c r="I31" s="858"/>
      <c r="J31" s="858"/>
      <c r="K31" s="858"/>
      <c r="L31" s="858"/>
      <c r="M31" s="858"/>
      <c r="N31" s="858"/>
      <c r="O31" s="858"/>
      <c r="P31" s="858"/>
      <c r="Q31" s="858"/>
      <c r="R31" s="858"/>
      <c r="S31" s="858"/>
      <c r="T31" s="858"/>
      <c r="U31" s="858"/>
      <c r="V31" s="858"/>
      <c r="W31" s="858"/>
      <c r="X31" s="858"/>
      <c r="Y31" s="858"/>
      <c r="Z31" s="858"/>
      <c r="AA31" s="858"/>
      <c r="AB31" s="858"/>
      <c r="AC31" s="858"/>
      <c r="AD31" s="858"/>
      <c r="AE31" s="858"/>
      <c r="AF31" s="858"/>
      <c r="AG31" s="858"/>
      <c r="AH31" s="858"/>
      <c r="AI31" s="858"/>
      <c r="AJ31" s="858"/>
      <c r="AK31" s="858"/>
      <c r="AL31" s="858"/>
      <c r="AM31" s="858"/>
      <c r="AN31" s="858"/>
      <c r="AO31" s="858"/>
      <c r="AP31" s="858"/>
      <c r="AQ31" s="858"/>
      <c r="AR31" s="858"/>
      <c r="AS31" s="858"/>
      <c r="AT31" s="858"/>
      <c r="AU31" s="899"/>
    </row>
    <row r="32" spans="2:60" x14ac:dyDescent="0.4">
      <c r="B32" s="1" t="s">
        <v>278</v>
      </c>
    </row>
    <row r="33" spans="2:60" x14ac:dyDescent="0.4">
      <c r="B33" s="881" t="s">
        <v>131</v>
      </c>
      <c r="C33" s="501"/>
      <c r="D33" s="501"/>
      <c r="E33" s="501"/>
      <c r="F33" s="501"/>
      <c r="G33" s="501"/>
      <c r="H33" s="501"/>
      <c r="I33" s="501"/>
      <c r="J33" s="522"/>
      <c r="K33" s="522"/>
      <c r="L33" s="522"/>
      <c r="M33" s="522"/>
      <c r="N33" s="522"/>
      <c r="O33" s="522"/>
      <c r="P33" s="522"/>
      <c r="Q33" s="522"/>
      <c r="R33" s="881" t="s">
        <v>126</v>
      </c>
      <c r="S33" s="881"/>
      <c r="T33" s="881"/>
      <c r="U33" s="881"/>
      <c r="V33" s="881"/>
      <c r="W33" s="881"/>
      <c r="X33" s="881"/>
      <c r="Y33" s="881"/>
      <c r="Z33" s="881"/>
      <c r="AA33" s="881"/>
      <c r="AB33" s="881"/>
      <c r="AC33" s="881"/>
      <c r="AD33" s="881"/>
      <c r="AE33" s="881" t="s">
        <v>16</v>
      </c>
      <c r="AF33" s="501"/>
      <c r="AG33" s="571" t="s">
        <v>44</v>
      </c>
      <c r="AH33" s="900"/>
      <c r="AI33" s="900"/>
      <c r="AJ33" s="900"/>
      <c r="AK33" s="900"/>
      <c r="AL33" s="571" t="s">
        <v>124</v>
      </c>
      <c r="AM33" s="900"/>
      <c r="AN33" s="900"/>
      <c r="AO33" s="900"/>
      <c r="AP33" s="900"/>
      <c r="AQ33" s="571" t="s">
        <v>125</v>
      </c>
      <c r="AR33" s="900"/>
      <c r="AS33" s="900"/>
      <c r="AT33" s="900"/>
      <c r="AU33" s="900"/>
      <c r="BG33" s="234" t="s">
        <v>129</v>
      </c>
      <c r="BH33" s="217" t="s">
        <v>130</v>
      </c>
    </row>
    <row r="34" spans="2:60" x14ac:dyDescent="0.4">
      <c r="B34" s="862"/>
      <c r="C34" s="922"/>
      <c r="D34" s="922"/>
      <c r="E34" s="922"/>
      <c r="F34" s="922"/>
      <c r="G34" s="922"/>
      <c r="H34" s="922"/>
      <c r="I34" s="922"/>
      <c r="J34" s="923"/>
      <c r="K34" s="923"/>
      <c r="L34" s="923"/>
      <c r="M34" s="923"/>
      <c r="N34" s="923"/>
      <c r="O34" s="923"/>
      <c r="P34" s="923"/>
      <c r="Q34" s="923"/>
      <c r="R34" s="927"/>
      <c r="S34" s="927"/>
      <c r="T34" s="927"/>
      <c r="U34" s="927"/>
      <c r="V34" s="927"/>
      <c r="W34" s="927"/>
      <c r="X34" s="927"/>
      <c r="Y34" s="927"/>
      <c r="Z34" s="927"/>
      <c r="AA34" s="927"/>
      <c r="AB34" s="927"/>
      <c r="AC34" s="927"/>
      <c r="AD34" s="927"/>
      <c r="AE34" s="891"/>
      <c r="AF34" s="892"/>
      <c r="AG34" s="893"/>
      <c r="AH34" s="894"/>
      <c r="AI34" s="894"/>
      <c r="AJ34" s="894"/>
      <c r="AK34" s="894"/>
      <c r="AL34" s="877">
        <f>ROUNDDOWN(AG34*1.1,0)</f>
        <v>0</v>
      </c>
      <c r="AM34" s="878"/>
      <c r="AN34" s="878"/>
      <c r="AO34" s="878"/>
      <c r="AP34" s="878"/>
      <c r="AQ34" s="879">
        <f>AL34*AE34</f>
        <v>0</v>
      </c>
      <c r="AR34" s="880"/>
      <c r="AS34" s="880"/>
      <c r="AT34" s="880"/>
      <c r="AU34" s="880"/>
      <c r="AW34" s="235" t="str">
        <f xml:space="preserve">
IF(COUNTA(B34:AK34)=0,"○",
IF(AND(COUNTA(B34:AK34)&gt;=1,COUNTA(B34:AK34)&lt;4),"×",
IF(COUNTA(B34:AK34)=4,"◎")))</f>
        <v>○</v>
      </c>
      <c r="BG34" s="234" t="str">
        <f xml:space="preserve">
IF(COUNTA(B34:AF34)=4,"◎",
IF(AND(COUNTA(B34:AF34)&gt;=1,COUNTA(B34:AF34)&lt;4),"×",
IF(COUNTA(B34:AF34)=0,"○")))</f>
        <v>○</v>
      </c>
      <c r="BH34" s="216" t="str">
        <f xml:space="preserve">
IF(COUNTA(B34:AF34)=4,"適切に入力がされました。",
IF(AND(COUNTA(B34:AF34)&gt;=1,COUNTA(B34:AF34)&lt;4),"【要修正】未入力の箇所があります。",
IF(COUNTA(B34:AF34)=0,"申請しない場合は入力不要です。")))</f>
        <v>申請しない場合は入力不要です。</v>
      </c>
    </row>
    <row r="35" spans="2:60" ht="24.75" thickBot="1" x14ac:dyDescent="0.45">
      <c r="B35" s="924"/>
      <c r="C35" s="925"/>
      <c r="D35" s="925"/>
      <c r="E35" s="925"/>
      <c r="F35" s="925"/>
      <c r="G35" s="925"/>
      <c r="H35" s="925"/>
      <c r="I35" s="925"/>
      <c r="J35" s="926"/>
      <c r="K35" s="926"/>
      <c r="L35" s="926"/>
      <c r="M35" s="926"/>
      <c r="N35" s="926"/>
      <c r="O35" s="926"/>
      <c r="P35" s="926"/>
      <c r="Q35" s="926"/>
      <c r="R35" s="928"/>
      <c r="S35" s="928"/>
      <c r="T35" s="928"/>
      <c r="U35" s="928"/>
      <c r="V35" s="928"/>
      <c r="W35" s="928"/>
      <c r="X35" s="928"/>
      <c r="Y35" s="928"/>
      <c r="Z35" s="928"/>
      <c r="AA35" s="928"/>
      <c r="AB35" s="928"/>
      <c r="AC35" s="928"/>
      <c r="AD35" s="928"/>
      <c r="AE35" s="891"/>
      <c r="AF35" s="892"/>
      <c r="AG35" s="893"/>
      <c r="AH35" s="894"/>
      <c r="AI35" s="894"/>
      <c r="AJ35" s="894"/>
      <c r="AK35" s="894"/>
      <c r="AL35" s="877">
        <f>ROUNDDOWN(AG35*1.1,0)</f>
        <v>0</v>
      </c>
      <c r="AM35" s="878"/>
      <c r="AN35" s="878"/>
      <c r="AO35" s="878"/>
      <c r="AP35" s="878"/>
      <c r="AQ35" s="879">
        <f>AL35*AE35</f>
        <v>0</v>
      </c>
      <c r="AR35" s="880"/>
      <c r="AS35" s="880"/>
      <c r="AT35" s="880"/>
      <c r="AU35" s="880"/>
      <c r="AW35" s="235" t="str">
        <f xml:space="preserve">
IF(COUNTA(B35:AK35)=0,"○",
IF(AND(COUNTA(B35:AK35)&gt;=1,COUNTA(B35:AK35)&lt;4),"×",
IF(COUNTA(B35:AK35)=4,"◎")))</f>
        <v>○</v>
      </c>
      <c r="BG35" s="234" t="str">
        <f xml:space="preserve">
IF(COUNTA(B35:AF35)=4,"◎",
IF(AND(COUNTA(B35:AF35)&gt;=1,COUNTA(B35:AF35)&lt;4),"×",
IF(COUNTA(B35:AF35)=0,"○")))</f>
        <v>○</v>
      </c>
      <c r="BH35" s="216" t="str">
        <f xml:space="preserve">
IF(COUNTA(B35:AF35)=4,"適切に入力がされました。",
IF(AND(COUNTA(B35:AF35)&gt;=1,COUNTA(B35:AF35)&lt;4),"【要修正】未入力の箇所があります。",
IF(COUNTA(B35:AF35)=0,"申請しない場合は入力不要です。")))</f>
        <v>申請しない場合は入力不要です。</v>
      </c>
    </row>
    <row r="36" spans="2:60" ht="24.75" thickTop="1" x14ac:dyDescent="0.4">
      <c r="B36" s="904"/>
      <c r="C36" s="905"/>
      <c r="D36" s="905"/>
      <c r="E36" s="905"/>
      <c r="F36" s="905"/>
      <c r="G36" s="905"/>
      <c r="H36" s="905"/>
      <c r="I36" s="905"/>
      <c r="J36" s="905"/>
      <c r="K36" s="905"/>
      <c r="L36" s="905"/>
      <c r="M36" s="905"/>
      <c r="N36" s="905"/>
      <c r="O36" s="905"/>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901" t="s">
        <v>280</v>
      </c>
      <c r="AM36" s="902"/>
      <c r="AN36" s="902"/>
      <c r="AO36" s="902"/>
      <c r="AP36" s="903"/>
      <c r="AQ36" s="897">
        <f>IF(AW36="◎",SUM(AQ34:AU35),0)</f>
        <v>0</v>
      </c>
      <c r="AR36" s="898"/>
      <c r="AS36" s="898"/>
      <c r="AT36" s="898"/>
      <c r="AU36" s="898"/>
      <c r="AW36" s="235" t="str">
        <f xml:space="preserve">
IF(COUNTIF(AW34:AW35,"○")=2,"○",
IF(COUNTIF(AW34:AW35,"×")&gt;=1,"×",
IF(AND(COUNTIF(AW34:AW35,"◎")&gt;=1,COUNTIF(AW34:AW35,"×")=0),"◎")))</f>
        <v>○</v>
      </c>
      <c r="AX36" s="1" t="s">
        <v>297</v>
      </c>
      <c r="AZ36" s="1" t="str">
        <f xml:space="preserve">
IF(AW36="○","申請しない場合は入力不要です。",
IF(AW36="×","【要修正】入力不十分な箇所があります。",
IF(AW36="◎","適切に入力がされました。")))</f>
        <v>申請しない場合は入力不要です。</v>
      </c>
      <c r="BG36" s="237" t="b">
        <f xml:space="preserve">
IF(COUNTIF(BG34:BG35,"○")=4,"○",
IF(COUNTIF(BG34:BG35,"×")&gt;=1,"×",
IF(AND(COUNTIF(BG34:BG35,"×")=0,COUNTIF(BG34:BG35,"◎")&gt;=1),"◎")))</f>
        <v>0</v>
      </c>
      <c r="BH36" s="200" t="b">
        <f xml:space="preserve">
IF(COUNTIF(BG34:BG35,"○")=4,"申請しない場合は入力不要です。",
IF(COUNTIF(BG34:BG35,"×")&gt;=1,"【要修正】入力不十分の箇所があるため金額が表示できません。",
IF(AND(COUNTIF(BG34:BG35,"×")=0,COUNTIF(BG34:BG35,"◎")&gt;=1),"適切に入力がされました。")))</f>
        <v>0</v>
      </c>
    </row>
    <row r="37" spans="2:60" ht="15" customHeight="1" thickBot="1" x14ac:dyDescent="0.45">
      <c r="BG37" s="66"/>
      <c r="BH37" s="68"/>
    </row>
    <row r="38" spans="2:60" ht="24.75" thickTop="1" x14ac:dyDescent="0.4">
      <c r="B38" s="849" t="s">
        <v>293</v>
      </c>
      <c r="C38" s="908"/>
      <c r="D38" s="908"/>
      <c r="E38" s="908"/>
      <c r="F38" s="908"/>
      <c r="G38" s="908"/>
      <c r="H38" s="908"/>
      <c r="I38" s="908"/>
      <c r="J38" s="908"/>
      <c r="K38" s="908"/>
      <c r="L38" s="908"/>
      <c r="M38" s="908"/>
      <c r="N38" s="908"/>
      <c r="O38" s="908"/>
      <c r="P38" s="908"/>
      <c r="Q38" s="908"/>
      <c r="R38" s="908"/>
      <c r="S38" s="908"/>
      <c r="T38" s="908"/>
      <c r="U38" s="908"/>
      <c r="V38" s="908"/>
      <c r="W38" s="908"/>
      <c r="X38" s="908"/>
      <c r="Y38" s="908"/>
      <c r="Z38" s="908"/>
      <c r="AA38" s="908"/>
      <c r="AB38" s="908"/>
      <c r="AC38" s="908"/>
      <c r="AD38" s="908"/>
      <c r="AE38" s="908"/>
      <c r="AF38" s="908"/>
      <c r="AG38" s="908"/>
      <c r="AH38" s="908"/>
      <c r="AI38" s="908"/>
      <c r="AJ38" s="908"/>
      <c r="AK38" s="908"/>
      <c r="AL38" s="908"/>
      <c r="AM38" s="908"/>
      <c r="AN38" s="908"/>
      <c r="AO38" s="908"/>
      <c r="AP38" s="908"/>
      <c r="AQ38" s="908"/>
      <c r="AR38" s="908"/>
      <c r="AS38" s="908"/>
      <c r="AT38" s="908"/>
      <c r="AU38" s="909"/>
    </row>
    <row r="39" spans="2:60" x14ac:dyDescent="0.4">
      <c r="B39" s="842" t="s">
        <v>294</v>
      </c>
      <c r="C39" s="683"/>
      <c r="D39" s="683"/>
      <c r="E39" s="683"/>
      <c r="F39" s="683"/>
      <c r="G39" s="683"/>
      <c r="H39" s="683"/>
      <c r="I39" s="683"/>
      <c r="J39" s="683"/>
      <c r="K39" s="683"/>
      <c r="L39" s="683"/>
      <c r="M39" s="683"/>
      <c r="N39" s="683"/>
      <c r="O39" s="683"/>
      <c r="P39" s="683"/>
      <c r="Q39" s="683"/>
      <c r="R39" s="683"/>
      <c r="S39" s="683"/>
      <c r="T39" s="683"/>
      <c r="U39" s="683"/>
      <c r="V39" s="683"/>
      <c r="W39" s="683"/>
      <c r="X39" s="683"/>
      <c r="Y39" s="683"/>
      <c r="Z39" s="683"/>
      <c r="AA39" s="683"/>
      <c r="AB39" s="683"/>
      <c r="AC39" s="683"/>
      <c r="AD39" s="683"/>
      <c r="AE39" s="683"/>
      <c r="AF39" s="683"/>
      <c r="AG39" s="683"/>
      <c r="AH39" s="683"/>
      <c r="AI39" s="683"/>
      <c r="AJ39" s="683"/>
      <c r="AK39" s="683"/>
      <c r="AL39" s="683"/>
      <c r="AM39" s="683"/>
      <c r="AN39" s="683"/>
      <c r="AO39" s="683"/>
      <c r="AP39" s="683"/>
      <c r="AQ39" s="683"/>
      <c r="AR39" s="683"/>
      <c r="AS39" s="683"/>
      <c r="AT39" s="683"/>
      <c r="AU39" s="910"/>
    </row>
    <row r="40" spans="2:60" x14ac:dyDescent="0.4">
      <c r="B40" s="842" t="s">
        <v>295</v>
      </c>
      <c r="C40" s="683"/>
      <c r="D40" s="683"/>
      <c r="E40" s="683"/>
      <c r="F40" s="683"/>
      <c r="G40" s="683"/>
      <c r="H40" s="683"/>
      <c r="I40" s="683"/>
      <c r="J40" s="683"/>
      <c r="K40" s="683"/>
      <c r="L40" s="683"/>
      <c r="M40" s="683"/>
      <c r="N40" s="683"/>
      <c r="O40" s="683"/>
      <c r="P40" s="683"/>
      <c r="Q40" s="683"/>
      <c r="R40" s="683"/>
      <c r="S40" s="683"/>
      <c r="T40" s="683"/>
      <c r="U40" s="683"/>
      <c r="V40" s="683"/>
      <c r="W40" s="683"/>
      <c r="X40" s="683"/>
      <c r="Y40" s="683"/>
      <c r="Z40" s="683"/>
      <c r="AA40" s="683"/>
      <c r="AB40" s="683"/>
      <c r="AC40" s="683"/>
      <c r="AD40" s="683"/>
      <c r="AE40" s="683"/>
      <c r="AF40" s="683"/>
      <c r="AG40" s="683"/>
      <c r="AH40" s="683"/>
      <c r="AI40" s="683"/>
      <c r="AJ40" s="683"/>
      <c r="AK40" s="683"/>
      <c r="AL40" s="683"/>
      <c r="AM40" s="683"/>
      <c r="AN40" s="683"/>
      <c r="AO40" s="683"/>
      <c r="AP40" s="683"/>
      <c r="AQ40" s="683"/>
      <c r="AR40" s="683"/>
      <c r="AS40" s="683"/>
      <c r="AT40" s="683"/>
      <c r="AU40" s="910"/>
    </row>
    <row r="41" spans="2:60" ht="24.75" thickBot="1" x14ac:dyDescent="0.45">
      <c r="B41" s="911" t="s">
        <v>368</v>
      </c>
      <c r="C41" s="912"/>
      <c r="D41" s="912"/>
      <c r="E41" s="912"/>
      <c r="F41" s="912"/>
      <c r="G41" s="912"/>
      <c r="H41" s="912"/>
      <c r="I41" s="912"/>
      <c r="J41" s="912"/>
      <c r="K41" s="912"/>
      <c r="L41" s="912"/>
      <c r="M41" s="912"/>
      <c r="N41" s="912"/>
      <c r="O41" s="912"/>
      <c r="P41" s="912"/>
      <c r="Q41" s="912"/>
      <c r="R41" s="912"/>
      <c r="S41" s="912"/>
      <c r="T41" s="912"/>
      <c r="U41" s="912"/>
      <c r="V41" s="912"/>
      <c r="W41" s="912"/>
      <c r="X41" s="912"/>
      <c r="Y41" s="912"/>
      <c r="Z41" s="912"/>
      <c r="AA41" s="912"/>
      <c r="AB41" s="912"/>
      <c r="AC41" s="912"/>
      <c r="AD41" s="912"/>
      <c r="AE41" s="912"/>
      <c r="AF41" s="912"/>
      <c r="AG41" s="912"/>
      <c r="AH41" s="912"/>
      <c r="AI41" s="912"/>
      <c r="AJ41" s="912"/>
      <c r="AK41" s="912"/>
      <c r="AL41" s="912"/>
      <c r="AM41" s="912"/>
      <c r="AN41" s="912"/>
      <c r="AO41" s="912"/>
      <c r="AP41" s="912"/>
      <c r="AQ41" s="912"/>
      <c r="AR41" s="912"/>
      <c r="AS41" s="912"/>
      <c r="AT41" s="912"/>
      <c r="AU41" s="913"/>
    </row>
    <row r="42" spans="2:60" ht="15" customHeight="1" thickTop="1" x14ac:dyDescent="0.4"/>
    <row r="43" spans="2:60" x14ac:dyDescent="0.4">
      <c r="B43" s="869" t="str">
        <f>"３．換気設備設置のための軽微な改修等の修繕費　【判定】"&amp;AW62&amp;"（"&amp;VLOOKUP(AW62,AW62:AZ62,4,FALSE)&amp;"）"</f>
        <v>３．換気設備設置のための軽微な改修等の修繕費　【判定】○（申請しない場合は入力不要です。）</v>
      </c>
      <c r="C43" s="519"/>
      <c r="D43" s="519"/>
      <c r="E43" s="519"/>
      <c r="F43" s="519"/>
      <c r="G43" s="519"/>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row>
    <row r="44" spans="2:60" x14ac:dyDescent="0.4">
      <c r="B44" s="1" t="s">
        <v>121</v>
      </c>
    </row>
    <row r="45" spans="2:60" x14ac:dyDescent="0.4">
      <c r="B45" s="197" t="s">
        <v>123</v>
      </c>
      <c r="C45" s="870" t="s">
        <v>290</v>
      </c>
      <c r="D45" s="871"/>
      <c r="E45" s="871"/>
      <c r="F45" s="871"/>
      <c r="G45" s="871"/>
      <c r="H45" s="871"/>
      <c r="I45" s="871"/>
      <c r="J45" s="871"/>
      <c r="K45" s="871"/>
      <c r="L45" s="871"/>
      <c r="M45" s="871"/>
      <c r="N45" s="871"/>
      <c r="O45" s="871"/>
      <c r="P45" s="871"/>
      <c r="Q45" s="871"/>
      <c r="R45" s="871"/>
      <c r="S45" s="871"/>
      <c r="T45" s="871"/>
      <c r="U45" s="871"/>
      <c r="V45" s="871"/>
      <c r="W45" s="871"/>
      <c r="X45" s="871"/>
      <c r="Y45" s="871"/>
      <c r="Z45" s="871"/>
      <c r="AA45" s="871"/>
      <c r="AB45" s="871"/>
      <c r="AC45" s="871"/>
      <c r="AD45" s="871"/>
      <c r="AE45" s="871"/>
      <c r="AF45" s="871"/>
      <c r="AG45" s="871"/>
      <c r="AH45" s="871"/>
      <c r="AI45" s="871"/>
      <c r="AJ45" s="871"/>
      <c r="AK45" s="871"/>
      <c r="AL45" s="871"/>
      <c r="AM45" s="871"/>
      <c r="AN45" s="871"/>
      <c r="AO45" s="871"/>
      <c r="AP45" s="871"/>
      <c r="AQ45" s="871"/>
      <c r="AR45" s="871"/>
      <c r="AS45" s="871"/>
      <c r="AT45" s="871"/>
      <c r="AU45" s="872"/>
    </row>
    <row r="46" spans="2:60" x14ac:dyDescent="0.4">
      <c r="B46" s="198" t="s">
        <v>122</v>
      </c>
      <c r="C46" s="852" t="s">
        <v>284</v>
      </c>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683"/>
      <c r="AP46" s="683"/>
      <c r="AQ46" s="683"/>
      <c r="AR46" s="683"/>
      <c r="AS46" s="683"/>
      <c r="AT46" s="683"/>
      <c r="AU46" s="873"/>
    </row>
    <row r="47" spans="2:60" x14ac:dyDescent="0.4">
      <c r="B47" s="198"/>
      <c r="C47" s="852" t="s">
        <v>285</v>
      </c>
      <c r="D47" s="683"/>
      <c r="E47" s="683"/>
      <c r="F47" s="683"/>
      <c r="G47" s="683"/>
      <c r="H47" s="683"/>
      <c r="I47" s="683"/>
      <c r="J47" s="683"/>
      <c r="K47" s="683"/>
      <c r="L47" s="683"/>
      <c r="M47" s="683"/>
      <c r="N47" s="683"/>
      <c r="O47" s="683"/>
      <c r="P47" s="683"/>
      <c r="Q47" s="683"/>
      <c r="R47" s="683"/>
      <c r="S47" s="683"/>
      <c r="T47" s="683"/>
      <c r="U47" s="683"/>
      <c r="V47" s="683"/>
      <c r="W47" s="683"/>
      <c r="X47" s="683"/>
      <c r="Y47" s="683"/>
      <c r="Z47" s="683"/>
      <c r="AA47" s="683"/>
      <c r="AB47" s="683"/>
      <c r="AC47" s="683"/>
      <c r="AD47" s="683"/>
      <c r="AE47" s="683"/>
      <c r="AF47" s="683"/>
      <c r="AG47" s="683"/>
      <c r="AH47" s="683"/>
      <c r="AI47" s="683"/>
      <c r="AJ47" s="683"/>
      <c r="AK47" s="683"/>
      <c r="AL47" s="683"/>
      <c r="AM47" s="683"/>
      <c r="AN47" s="683"/>
      <c r="AO47" s="683"/>
      <c r="AP47" s="683"/>
      <c r="AQ47" s="683"/>
      <c r="AR47" s="683"/>
      <c r="AS47" s="683"/>
      <c r="AT47" s="683"/>
      <c r="AU47" s="873"/>
    </row>
    <row r="48" spans="2:60" x14ac:dyDescent="0.4">
      <c r="B48" s="198"/>
      <c r="C48" s="852" t="s">
        <v>286</v>
      </c>
      <c r="D48" s="683"/>
      <c r="E48" s="683"/>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c r="AI48" s="683"/>
      <c r="AJ48" s="683"/>
      <c r="AK48" s="683"/>
      <c r="AL48" s="683"/>
      <c r="AM48" s="683"/>
      <c r="AN48" s="683"/>
      <c r="AO48" s="683"/>
      <c r="AP48" s="683"/>
      <c r="AQ48" s="683"/>
      <c r="AR48" s="683"/>
      <c r="AS48" s="683"/>
      <c r="AT48" s="683"/>
      <c r="AU48" s="873"/>
    </row>
    <row r="49" spans="2:59" x14ac:dyDescent="0.4">
      <c r="B49" s="198"/>
      <c r="C49" s="852" t="s">
        <v>287</v>
      </c>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683"/>
      <c r="AM49" s="683"/>
      <c r="AN49" s="683"/>
      <c r="AO49" s="683"/>
      <c r="AP49" s="683"/>
      <c r="AQ49" s="683"/>
      <c r="AR49" s="683"/>
      <c r="AS49" s="683"/>
      <c r="AT49" s="683"/>
      <c r="AU49" s="873"/>
    </row>
    <row r="50" spans="2:59" x14ac:dyDescent="0.4">
      <c r="B50" s="198"/>
      <c r="C50" s="852" t="s">
        <v>362</v>
      </c>
      <c r="D50" s="683"/>
      <c r="E50" s="683"/>
      <c r="F50" s="683"/>
      <c r="G50" s="683"/>
      <c r="H50" s="683"/>
      <c r="I50" s="683"/>
      <c r="J50" s="683"/>
      <c r="K50" s="683"/>
      <c r="L50" s="683"/>
      <c r="M50" s="683"/>
      <c r="N50" s="683"/>
      <c r="O50" s="683"/>
      <c r="P50" s="683"/>
      <c r="Q50" s="683"/>
      <c r="R50" s="683"/>
      <c r="S50" s="683"/>
      <c r="T50" s="683"/>
      <c r="U50" s="683"/>
      <c r="V50" s="683"/>
      <c r="W50" s="683"/>
      <c r="X50" s="683"/>
      <c r="Y50" s="683"/>
      <c r="Z50" s="683"/>
      <c r="AA50" s="683"/>
      <c r="AB50" s="683"/>
      <c r="AC50" s="683"/>
      <c r="AD50" s="683"/>
      <c r="AE50" s="683"/>
      <c r="AF50" s="683"/>
      <c r="AG50" s="683"/>
      <c r="AH50" s="683"/>
      <c r="AI50" s="683"/>
      <c r="AJ50" s="683"/>
      <c r="AK50" s="683"/>
      <c r="AL50" s="683"/>
      <c r="AM50" s="683"/>
      <c r="AN50" s="683"/>
      <c r="AO50" s="683"/>
      <c r="AP50" s="683"/>
      <c r="AQ50" s="683"/>
      <c r="AR50" s="683"/>
      <c r="AS50" s="683"/>
      <c r="AT50" s="683"/>
      <c r="AU50" s="873"/>
    </row>
    <row r="51" spans="2:59" x14ac:dyDescent="0.4">
      <c r="B51" s="198"/>
      <c r="C51" s="852" t="s">
        <v>288</v>
      </c>
      <c r="D51" s="683"/>
      <c r="E51" s="683"/>
      <c r="F51" s="683"/>
      <c r="G51" s="683"/>
      <c r="H51" s="683"/>
      <c r="I51" s="683"/>
      <c r="J51" s="683"/>
      <c r="K51" s="683"/>
      <c r="L51" s="683"/>
      <c r="M51" s="683"/>
      <c r="N51" s="683"/>
      <c r="O51" s="683"/>
      <c r="P51" s="683"/>
      <c r="Q51" s="683"/>
      <c r="R51" s="683"/>
      <c r="S51" s="683"/>
      <c r="T51" s="683"/>
      <c r="U51" s="683"/>
      <c r="V51" s="683"/>
      <c r="W51" s="683"/>
      <c r="X51" s="683"/>
      <c r="Y51" s="683"/>
      <c r="Z51" s="683"/>
      <c r="AA51" s="683"/>
      <c r="AB51" s="683"/>
      <c r="AC51" s="683"/>
      <c r="AD51" s="683"/>
      <c r="AE51" s="683"/>
      <c r="AF51" s="683"/>
      <c r="AG51" s="683"/>
      <c r="AH51" s="683"/>
      <c r="AI51" s="683"/>
      <c r="AJ51" s="683"/>
      <c r="AK51" s="683"/>
      <c r="AL51" s="683"/>
      <c r="AM51" s="683"/>
      <c r="AN51" s="683"/>
      <c r="AO51" s="683"/>
      <c r="AP51" s="683"/>
      <c r="AQ51" s="683"/>
      <c r="AR51" s="683"/>
      <c r="AS51" s="683"/>
      <c r="AT51" s="683"/>
      <c r="AU51" s="873"/>
    </row>
    <row r="52" spans="2:59" x14ac:dyDescent="0.4">
      <c r="B52" s="199"/>
      <c r="C52" s="857" t="s">
        <v>289</v>
      </c>
      <c r="D52" s="858"/>
      <c r="E52" s="858"/>
      <c r="F52" s="858"/>
      <c r="G52" s="858"/>
      <c r="H52" s="858"/>
      <c r="I52" s="858"/>
      <c r="J52" s="858"/>
      <c r="K52" s="858"/>
      <c r="L52" s="858"/>
      <c r="M52" s="858"/>
      <c r="N52" s="858"/>
      <c r="O52" s="858"/>
      <c r="P52" s="858"/>
      <c r="Q52" s="858"/>
      <c r="R52" s="858"/>
      <c r="S52" s="858"/>
      <c r="T52" s="858"/>
      <c r="U52" s="858"/>
      <c r="V52" s="858"/>
      <c r="W52" s="858"/>
      <c r="X52" s="858"/>
      <c r="Y52" s="858"/>
      <c r="Z52" s="858"/>
      <c r="AA52" s="858"/>
      <c r="AB52" s="858"/>
      <c r="AC52" s="858"/>
      <c r="AD52" s="858"/>
      <c r="AE52" s="858"/>
      <c r="AF52" s="858"/>
      <c r="AG52" s="858"/>
      <c r="AH52" s="858"/>
      <c r="AI52" s="858"/>
      <c r="AJ52" s="858"/>
      <c r="AK52" s="858"/>
      <c r="AL52" s="858"/>
      <c r="AM52" s="858"/>
      <c r="AN52" s="858"/>
      <c r="AO52" s="858"/>
      <c r="AP52" s="858"/>
      <c r="AQ52" s="858"/>
      <c r="AR52" s="858"/>
      <c r="AS52" s="858"/>
      <c r="AT52" s="858"/>
      <c r="AU52" s="899"/>
    </row>
    <row r="53" spans="2:59" x14ac:dyDescent="0.4">
      <c r="B53" s="1" t="s">
        <v>291</v>
      </c>
      <c r="BG53" s="1" t="s">
        <v>127</v>
      </c>
    </row>
    <row r="54" spans="2:59" x14ac:dyDescent="0.4">
      <c r="B54" s="882" t="s">
        <v>292</v>
      </c>
      <c r="C54" s="496"/>
      <c r="D54" s="496"/>
      <c r="E54" s="496"/>
      <c r="F54" s="496"/>
      <c r="G54" s="496"/>
      <c r="H54" s="496"/>
      <c r="I54" s="496"/>
      <c r="J54" s="462"/>
      <c r="K54" s="462"/>
      <c r="L54" s="462"/>
      <c r="M54" s="462"/>
      <c r="N54" s="462"/>
      <c r="O54" s="462"/>
      <c r="P54" s="462"/>
      <c r="Q54" s="462"/>
      <c r="R54" s="462"/>
      <c r="S54" s="462"/>
      <c r="T54" s="462"/>
      <c r="U54" s="462"/>
      <c r="V54" s="462"/>
      <c r="W54" s="462"/>
      <c r="X54" s="462"/>
      <c r="Y54" s="462"/>
      <c r="Z54" s="462"/>
      <c r="AA54" s="462"/>
      <c r="AB54" s="462"/>
      <c r="AC54" s="462"/>
      <c r="AD54" s="463"/>
      <c r="AE54" s="881" t="s">
        <v>16</v>
      </c>
      <c r="AF54" s="501"/>
      <c r="AG54" s="571" t="s">
        <v>44</v>
      </c>
      <c r="AH54" s="900"/>
      <c r="AI54" s="900"/>
      <c r="AJ54" s="900"/>
      <c r="AK54" s="900"/>
      <c r="AL54" s="571" t="s">
        <v>124</v>
      </c>
      <c r="AM54" s="900"/>
      <c r="AN54" s="900"/>
      <c r="AO54" s="900"/>
      <c r="AP54" s="900"/>
      <c r="AQ54" s="571" t="s">
        <v>125</v>
      </c>
      <c r="AR54" s="900"/>
      <c r="AS54" s="900"/>
      <c r="AT54" s="900"/>
      <c r="AU54" s="900"/>
      <c r="BG54" s="1" t="s">
        <v>128</v>
      </c>
    </row>
    <row r="55" spans="2:59" x14ac:dyDescent="0.4">
      <c r="B55" s="914"/>
      <c r="C55" s="915"/>
      <c r="D55" s="915"/>
      <c r="E55" s="915"/>
      <c r="F55" s="915"/>
      <c r="G55" s="915"/>
      <c r="H55" s="915"/>
      <c r="I55" s="915"/>
      <c r="J55" s="916"/>
      <c r="K55" s="916"/>
      <c r="L55" s="916"/>
      <c r="M55" s="916"/>
      <c r="N55" s="916"/>
      <c r="O55" s="916"/>
      <c r="P55" s="916"/>
      <c r="Q55" s="916"/>
      <c r="R55" s="916"/>
      <c r="S55" s="916"/>
      <c r="T55" s="916"/>
      <c r="U55" s="916"/>
      <c r="V55" s="916"/>
      <c r="W55" s="916"/>
      <c r="X55" s="916"/>
      <c r="Y55" s="916"/>
      <c r="Z55" s="916"/>
      <c r="AA55" s="916"/>
      <c r="AB55" s="916"/>
      <c r="AC55" s="916"/>
      <c r="AD55" s="917"/>
      <c r="AE55" s="918"/>
      <c r="AF55" s="919"/>
      <c r="AG55" s="893"/>
      <c r="AH55" s="894"/>
      <c r="AI55" s="894"/>
      <c r="AJ55" s="894"/>
      <c r="AK55" s="894"/>
      <c r="AL55" s="877">
        <f t="shared" ref="AL55:AL61" si="1">ROUNDDOWN(AG55*1.1,0)</f>
        <v>0</v>
      </c>
      <c r="AM55" s="878"/>
      <c r="AN55" s="878"/>
      <c r="AO55" s="878"/>
      <c r="AP55" s="878"/>
      <c r="AQ55" s="879">
        <f>AE55*AL55</f>
        <v>0</v>
      </c>
      <c r="AR55" s="880"/>
      <c r="AS55" s="880"/>
      <c r="AT55" s="880"/>
      <c r="AU55" s="880"/>
      <c r="AW55" s="235" t="str">
        <f xml:space="preserve">
IF(COUNTA(B55:AK55)=0,"○",
IF(AND(COUNTA(B55:AK55)&gt;=1,COUNTA(B55:AK55)&lt;3),"×",
IF(COUNTA(B55:AK55)=3,"◎")))</f>
        <v>○</v>
      </c>
      <c r="BG55" s="1" t="s">
        <v>106</v>
      </c>
    </row>
    <row r="56" spans="2:59" x14ac:dyDescent="0.4">
      <c r="B56" s="914"/>
      <c r="C56" s="915"/>
      <c r="D56" s="915"/>
      <c r="E56" s="915"/>
      <c r="F56" s="915"/>
      <c r="G56" s="915"/>
      <c r="H56" s="915"/>
      <c r="I56" s="915"/>
      <c r="J56" s="916"/>
      <c r="K56" s="916"/>
      <c r="L56" s="916"/>
      <c r="M56" s="916"/>
      <c r="N56" s="916"/>
      <c r="O56" s="916"/>
      <c r="P56" s="916"/>
      <c r="Q56" s="916"/>
      <c r="R56" s="916"/>
      <c r="S56" s="916"/>
      <c r="T56" s="916"/>
      <c r="U56" s="916"/>
      <c r="V56" s="916"/>
      <c r="W56" s="916"/>
      <c r="X56" s="916"/>
      <c r="Y56" s="916"/>
      <c r="Z56" s="916"/>
      <c r="AA56" s="916"/>
      <c r="AB56" s="916"/>
      <c r="AC56" s="916"/>
      <c r="AD56" s="917"/>
      <c r="AE56" s="918"/>
      <c r="AF56" s="919"/>
      <c r="AG56" s="893"/>
      <c r="AH56" s="894"/>
      <c r="AI56" s="894"/>
      <c r="AJ56" s="894"/>
      <c r="AK56" s="894"/>
      <c r="AL56" s="877">
        <f t="shared" si="1"/>
        <v>0</v>
      </c>
      <c r="AM56" s="878"/>
      <c r="AN56" s="878"/>
      <c r="AO56" s="878"/>
      <c r="AP56" s="878"/>
      <c r="AQ56" s="879">
        <f t="shared" ref="AQ56:AQ61" si="2">AE56*AL56</f>
        <v>0</v>
      </c>
      <c r="AR56" s="880"/>
      <c r="AS56" s="880"/>
      <c r="AT56" s="880"/>
      <c r="AU56" s="880"/>
      <c r="AW56" s="235" t="str">
        <f t="shared" ref="AW56:AW61" si="3" xml:space="preserve">
IF(COUNTA(B56:AK56)=0,"○",
IF(AND(COUNTA(B56:AK56)&gt;=1,COUNTA(B56:AK56)&lt;3),"×",
IF(COUNTA(B56:AK56)=3,"◎")))</f>
        <v>○</v>
      </c>
    </row>
    <row r="57" spans="2:59" x14ac:dyDescent="0.4">
      <c r="B57" s="914"/>
      <c r="C57" s="915"/>
      <c r="D57" s="915"/>
      <c r="E57" s="915"/>
      <c r="F57" s="915"/>
      <c r="G57" s="915"/>
      <c r="H57" s="915"/>
      <c r="I57" s="915"/>
      <c r="J57" s="916"/>
      <c r="K57" s="916"/>
      <c r="L57" s="916"/>
      <c r="M57" s="916"/>
      <c r="N57" s="916"/>
      <c r="O57" s="916"/>
      <c r="P57" s="916"/>
      <c r="Q57" s="916"/>
      <c r="R57" s="916"/>
      <c r="S57" s="916"/>
      <c r="T57" s="916"/>
      <c r="U57" s="916"/>
      <c r="V57" s="916"/>
      <c r="W57" s="916"/>
      <c r="X57" s="916"/>
      <c r="Y57" s="916"/>
      <c r="Z57" s="916"/>
      <c r="AA57" s="916"/>
      <c r="AB57" s="916"/>
      <c r="AC57" s="916"/>
      <c r="AD57" s="917"/>
      <c r="AE57" s="918"/>
      <c r="AF57" s="919"/>
      <c r="AG57" s="893"/>
      <c r="AH57" s="894"/>
      <c r="AI57" s="894"/>
      <c r="AJ57" s="894"/>
      <c r="AK57" s="894"/>
      <c r="AL57" s="877">
        <f t="shared" si="1"/>
        <v>0</v>
      </c>
      <c r="AM57" s="878"/>
      <c r="AN57" s="878"/>
      <c r="AO57" s="878"/>
      <c r="AP57" s="878"/>
      <c r="AQ57" s="879">
        <f t="shared" si="2"/>
        <v>0</v>
      </c>
      <c r="AR57" s="880"/>
      <c r="AS57" s="880"/>
      <c r="AT57" s="880"/>
      <c r="AU57" s="880"/>
      <c r="AW57" s="235" t="str">
        <f t="shared" si="3"/>
        <v>○</v>
      </c>
    </row>
    <row r="58" spans="2:59" x14ac:dyDescent="0.4">
      <c r="B58" s="914"/>
      <c r="C58" s="915"/>
      <c r="D58" s="915"/>
      <c r="E58" s="915"/>
      <c r="F58" s="915"/>
      <c r="G58" s="915"/>
      <c r="H58" s="915"/>
      <c r="I58" s="915"/>
      <c r="J58" s="916"/>
      <c r="K58" s="916"/>
      <c r="L58" s="916"/>
      <c r="M58" s="916"/>
      <c r="N58" s="916"/>
      <c r="O58" s="916"/>
      <c r="P58" s="916"/>
      <c r="Q58" s="916"/>
      <c r="R58" s="916"/>
      <c r="S58" s="916"/>
      <c r="T58" s="916"/>
      <c r="U58" s="916"/>
      <c r="V58" s="916"/>
      <c r="W58" s="916"/>
      <c r="X58" s="916"/>
      <c r="Y58" s="916"/>
      <c r="Z58" s="916"/>
      <c r="AA58" s="916"/>
      <c r="AB58" s="916"/>
      <c r="AC58" s="916"/>
      <c r="AD58" s="917"/>
      <c r="AE58" s="918"/>
      <c r="AF58" s="919"/>
      <c r="AG58" s="893"/>
      <c r="AH58" s="894"/>
      <c r="AI58" s="894"/>
      <c r="AJ58" s="894"/>
      <c r="AK58" s="894"/>
      <c r="AL58" s="877">
        <f t="shared" si="1"/>
        <v>0</v>
      </c>
      <c r="AM58" s="878"/>
      <c r="AN58" s="878"/>
      <c r="AO58" s="878"/>
      <c r="AP58" s="878"/>
      <c r="AQ58" s="879">
        <f t="shared" si="2"/>
        <v>0</v>
      </c>
      <c r="AR58" s="880"/>
      <c r="AS58" s="880"/>
      <c r="AT58" s="880"/>
      <c r="AU58" s="880"/>
      <c r="AW58" s="235" t="str">
        <f t="shared" si="3"/>
        <v>○</v>
      </c>
    </row>
    <row r="59" spans="2:59" x14ac:dyDescent="0.4">
      <c r="B59" s="914"/>
      <c r="C59" s="915"/>
      <c r="D59" s="915"/>
      <c r="E59" s="915"/>
      <c r="F59" s="915"/>
      <c r="G59" s="915"/>
      <c r="H59" s="915"/>
      <c r="I59" s="915"/>
      <c r="J59" s="916"/>
      <c r="K59" s="916"/>
      <c r="L59" s="916"/>
      <c r="M59" s="916"/>
      <c r="N59" s="916"/>
      <c r="O59" s="916"/>
      <c r="P59" s="916"/>
      <c r="Q59" s="916"/>
      <c r="R59" s="916"/>
      <c r="S59" s="916"/>
      <c r="T59" s="916"/>
      <c r="U59" s="916"/>
      <c r="V59" s="916"/>
      <c r="W59" s="916"/>
      <c r="X59" s="916"/>
      <c r="Y59" s="916"/>
      <c r="Z59" s="916"/>
      <c r="AA59" s="916"/>
      <c r="AB59" s="916"/>
      <c r="AC59" s="916"/>
      <c r="AD59" s="917"/>
      <c r="AE59" s="918"/>
      <c r="AF59" s="919"/>
      <c r="AG59" s="893"/>
      <c r="AH59" s="894"/>
      <c r="AI59" s="894"/>
      <c r="AJ59" s="894"/>
      <c r="AK59" s="894"/>
      <c r="AL59" s="877">
        <f t="shared" si="1"/>
        <v>0</v>
      </c>
      <c r="AM59" s="878"/>
      <c r="AN59" s="878"/>
      <c r="AO59" s="878"/>
      <c r="AP59" s="878"/>
      <c r="AQ59" s="879">
        <f t="shared" si="2"/>
        <v>0</v>
      </c>
      <c r="AR59" s="880"/>
      <c r="AS59" s="880"/>
      <c r="AT59" s="880"/>
      <c r="AU59" s="880"/>
      <c r="AW59" s="235" t="str">
        <f t="shared" si="3"/>
        <v>○</v>
      </c>
    </row>
    <row r="60" spans="2:59" x14ac:dyDescent="0.4">
      <c r="B60" s="914"/>
      <c r="C60" s="915"/>
      <c r="D60" s="915"/>
      <c r="E60" s="915"/>
      <c r="F60" s="915"/>
      <c r="G60" s="915"/>
      <c r="H60" s="915"/>
      <c r="I60" s="915"/>
      <c r="J60" s="916"/>
      <c r="K60" s="916"/>
      <c r="L60" s="916"/>
      <c r="M60" s="916"/>
      <c r="N60" s="916"/>
      <c r="O60" s="916"/>
      <c r="P60" s="916"/>
      <c r="Q60" s="916"/>
      <c r="R60" s="916"/>
      <c r="S60" s="916"/>
      <c r="T60" s="916"/>
      <c r="U60" s="916"/>
      <c r="V60" s="916"/>
      <c r="W60" s="916"/>
      <c r="X60" s="916"/>
      <c r="Y60" s="916"/>
      <c r="Z60" s="916"/>
      <c r="AA60" s="916"/>
      <c r="AB60" s="916"/>
      <c r="AC60" s="916"/>
      <c r="AD60" s="917"/>
      <c r="AE60" s="918"/>
      <c r="AF60" s="919"/>
      <c r="AG60" s="893"/>
      <c r="AH60" s="894"/>
      <c r="AI60" s="894"/>
      <c r="AJ60" s="894"/>
      <c r="AK60" s="894"/>
      <c r="AL60" s="877">
        <f t="shared" si="1"/>
        <v>0</v>
      </c>
      <c r="AM60" s="878"/>
      <c r="AN60" s="878"/>
      <c r="AO60" s="878"/>
      <c r="AP60" s="878"/>
      <c r="AQ60" s="879">
        <f t="shared" si="2"/>
        <v>0</v>
      </c>
      <c r="AR60" s="880"/>
      <c r="AS60" s="880"/>
      <c r="AT60" s="880"/>
      <c r="AU60" s="880"/>
      <c r="AW60" s="235" t="str">
        <f t="shared" si="3"/>
        <v>○</v>
      </c>
    </row>
    <row r="61" spans="2:59" ht="24.75" thickBot="1" x14ac:dyDescent="0.45">
      <c r="B61" s="914"/>
      <c r="C61" s="915"/>
      <c r="D61" s="915"/>
      <c r="E61" s="915"/>
      <c r="F61" s="915"/>
      <c r="G61" s="915"/>
      <c r="H61" s="915"/>
      <c r="I61" s="915"/>
      <c r="J61" s="916"/>
      <c r="K61" s="916"/>
      <c r="L61" s="916"/>
      <c r="M61" s="916"/>
      <c r="N61" s="916"/>
      <c r="O61" s="916"/>
      <c r="P61" s="916"/>
      <c r="Q61" s="916"/>
      <c r="R61" s="916"/>
      <c r="S61" s="916"/>
      <c r="T61" s="916"/>
      <c r="U61" s="916"/>
      <c r="V61" s="916"/>
      <c r="W61" s="916"/>
      <c r="X61" s="916"/>
      <c r="Y61" s="916"/>
      <c r="Z61" s="916"/>
      <c r="AA61" s="916"/>
      <c r="AB61" s="916"/>
      <c r="AC61" s="916"/>
      <c r="AD61" s="917"/>
      <c r="AE61" s="918"/>
      <c r="AF61" s="919"/>
      <c r="AG61" s="893"/>
      <c r="AH61" s="894"/>
      <c r="AI61" s="894"/>
      <c r="AJ61" s="894"/>
      <c r="AK61" s="894"/>
      <c r="AL61" s="877">
        <f t="shared" si="1"/>
        <v>0</v>
      </c>
      <c r="AM61" s="878"/>
      <c r="AN61" s="878"/>
      <c r="AO61" s="878"/>
      <c r="AP61" s="878"/>
      <c r="AQ61" s="879">
        <f t="shared" si="2"/>
        <v>0</v>
      </c>
      <c r="AR61" s="880"/>
      <c r="AS61" s="880"/>
      <c r="AT61" s="880"/>
      <c r="AU61" s="880"/>
      <c r="AW61" s="235" t="str">
        <f t="shared" si="3"/>
        <v>○</v>
      </c>
    </row>
    <row r="62" spans="2:59" ht="24.75" thickTop="1" x14ac:dyDescent="0.4">
      <c r="B62" s="920" t="str">
        <f>IF(AQ62&gt;=200000,"【注意】修繕箇所が１か所の場合、20万円以上であるため修繕費として経費計上が認められないことになります。","")</f>
        <v/>
      </c>
      <c r="C62" s="921"/>
      <c r="D62" s="921"/>
      <c r="E62" s="921"/>
      <c r="F62" s="921"/>
      <c r="G62" s="921"/>
      <c r="H62" s="921"/>
      <c r="I62" s="921"/>
      <c r="J62" s="921"/>
      <c r="K62" s="921"/>
      <c r="L62" s="921"/>
      <c r="M62" s="921"/>
      <c r="N62" s="921"/>
      <c r="O62" s="921"/>
      <c r="P62" s="921"/>
      <c r="Q62" s="921"/>
      <c r="R62" s="921"/>
      <c r="S62" s="921"/>
      <c r="T62" s="921"/>
      <c r="U62" s="921"/>
      <c r="V62" s="921"/>
      <c r="W62" s="921"/>
      <c r="X62" s="921"/>
      <c r="Y62" s="921"/>
      <c r="Z62" s="921"/>
      <c r="AA62" s="921"/>
      <c r="AB62" s="921"/>
      <c r="AC62" s="921"/>
      <c r="AD62" s="921"/>
      <c r="AE62" s="921"/>
      <c r="AF62" s="921"/>
      <c r="AG62" s="921"/>
      <c r="AH62" s="921"/>
      <c r="AI62" s="921"/>
      <c r="AJ62" s="921"/>
      <c r="AK62" s="921"/>
      <c r="AL62" s="901" t="s">
        <v>280</v>
      </c>
      <c r="AM62" s="902"/>
      <c r="AN62" s="902"/>
      <c r="AO62" s="902"/>
      <c r="AP62" s="903"/>
      <c r="AQ62" s="897">
        <f>IF(AW62="◎",SUM(AQ55:AU61),0)</f>
        <v>0</v>
      </c>
      <c r="AR62" s="898"/>
      <c r="AS62" s="898"/>
      <c r="AT62" s="898"/>
      <c r="AU62" s="898"/>
      <c r="AW62" s="235" t="str">
        <f xml:space="preserve">
IF(COUNTIF(AW55:AW61,"○")=7,"○",
IF(COUNTIF(AW55:AW61,"×")&gt;=1,"×",
IF(AND(COUNTIF(AW55:AW61,"◎")&gt;=1,COUNTIF(AW55:AW61,"×")=0),"◎")))</f>
        <v>○</v>
      </c>
      <c r="AZ62" s="1" t="str">
        <f xml:space="preserve">
IF(AW62="○","申請しない場合は入力不要です。",
IF(AW62="×","【要修正】入力不十分な箇所があります。",
IF(AW62="◎","適切に入力がされました。")))</f>
        <v>申請しない場合は入力不要です。</v>
      </c>
    </row>
    <row r="63" spans="2:59" ht="15" customHeight="1" thickBot="1" x14ac:dyDescent="0.45"/>
    <row r="64" spans="2:59" ht="24.75" thickTop="1" x14ac:dyDescent="0.4">
      <c r="B64" s="849" t="s">
        <v>293</v>
      </c>
      <c r="C64" s="908"/>
      <c r="D64" s="908"/>
      <c r="E64" s="908"/>
      <c r="F64" s="908"/>
      <c r="G64" s="908"/>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9"/>
    </row>
    <row r="65" spans="2:47" x14ac:dyDescent="0.4">
      <c r="B65" s="842" t="s">
        <v>296</v>
      </c>
      <c r="C65" s="683"/>
      <c r="D65" s="683"/>
      <c r="E65" s="683"/>
      <c r="F65" s="683"/>
      <c r="G65" s="683"/>
      <c r="H65" s="683"/>
      <c r="I65" s="683"/>
      <c r="J65" s="683"/>
      <c r="K65" s="683"/>
      <c r="L65" s="683"/>
      <c r="M65" s="683"/>
      <c r="N65" s="683"/>
      <c r="O65" s="683"/>
      <c r="P65" s="683"/>
      <c r="Q65" s="683"/>
      <c r="R65" s="683"/>
      <c r="S65" s="683"/>
      <c r="T65" s="683"/>
      <c r="U65" s="683"/>
      <c r="V65" s="683"/>
      <c r="W65" s="683"/>
      <c r="X65" s="683"/>
      <c r="Y65" s="683"/>
      <c r="Z65" s="683"/>
      <c r="AA65" s="683"/>
      <c r="AB65" s="683"/>
      <c r="AC65" s="683"/>
      <c r="AD65" s="683"/>
      <c r="AE65" s="683"/>
      <c r="AF65" s="683"/>
      <c r="AG65" s="683"/>
      <c r="AH65" s="683"/>
      <c r="AI65" s="683"/>
      <c r="AJ65" s="683"/>
      <c r="AK65" s="683"/>
      <c r="AL65" s="683"/>
      <c r="AM65" s="683"/>
      <c r="AN65" s="683"/>
      <c r="AO65" s="683"/>
      <c r="AP65" s="683"/>
      <c r="AQ65" s="683"/>
      <c r="AR65" s="683"/>
      <c r="AS65" s="683"/>
      <c r="AT65" s="683"/>
      <c r="AU65" s="910"/>
    </row>
    <row r="66" spans="2:47" x14ac:dyDescent="0.4">
      <c r="B66" s="842" t="s">
        <v>295</v>
      </c>
      <c r="C66" s="683"/>
      <c r="D66" s="683"/>
      <c r="E66" s="683"/>
      <c r="F66" s="683"/>
      <c r="G66" s="683"/>
      <c r="H66" s="683"/>
      <c r="I66" s="683"/>
      <c r="J66" s="683"/>
      <c r="K66" s="683"/>
      <c r="L66" s="683"/>
      <c r="M66" s="683"/>
      <c r="N66" s="683"/>
      <c r="O66" s="683"/>
      <c r="P66" s="683"/>
      <c r="Q66" s="683"/>
      <c r="R66" s="683"/>
      <c r="S66" s="683"/>
      <c r="T66" s="683"/>
      <c r="U66" s="683"/>
      <c r="V66" s="683"/>
      <c r="W66" s="683"/>
      <c r="X66" s="683"/>
      <c r="Y66" s="683"/>
      <c r="Z66" s="683"/>
      <c r="AA66" s="683"/>
      <c r="AB66" s="683"/>
      <c r="AC66" s="683"/>
      <c r="AD66" s="683"/>
      <c r="AE66" s="683"/>
      <c r="AF66" s="683"/>
      <c r="AG66" s="683"/>
      <c r="AH66" s="683"/>
      <c r="AI66" s="683"/>
      <c r="AJ66" s="683"/>
      <c r="AK66" s="683"/>
      <c r="AL66" s="683"/>
      <c r="AM66" s="683"/>
      <c r="AN66" s="683"/>
      <c r="AO66" s="683"/>
      <c r="AP66" s="683"/>
      <c r="AQ66" s="683"/>
      <c r="AR66" s="683"/>
      <c r="AS66" s="683"/>
      <c r="AT66" s="683"/>
      <c r="AU66" s="910"/>
    </row>
    <row r="67" spans="2:47" ht="24.75" thickBot="1" x14ac:dyDescent="0.45">
      <c r="B67" s="911" t="s">
        <v>365</v>
      </c>
      <c r="C67" s="912"/>
      <c r="D67" s="912"/>
      <c r="E67" s="912"/>
      <c r="F67" s="912"/>
      <c r="G67" s="912"/>
      <c r="H67" s="912"/>
      <c r="I67" s="912"/>
      <c r="J67" s="912"/>
      <c r="K67" s="912"/>
      <c r="L67" s="912"/>
      <c r="M67" s="912"/>
      <c r="N67" s="912"/>
      <c r="O67" s="912"/>
      <c r="P67" s="912"/>
      <c r="Q67" s="912"/>
      <c r="R67" s="912"/>
      <c r="S67" s="912"/>
      <c r="T67" s="912"/>
      <c r="U67" s="912"/>
      <c r="V67" s="912"/>
      <c r="W67" s="912"/>
      <c r="X67" s="912"/>
      <c r="Y67" s="912"/>
      <c r="Z67" s="912"/>
      <c r="AA67" s="912"/>
      <c r="AB67" s="912"/>
      <c r="AC67" s="912"/>
      <c r="AD67" s="912"/>
      <c r="AE67" s="912"/>
      <c r="AF67" s="912"/>
      <c r="AG67" s="912"/>
      <c r="AH67" s="912"/>
      <c r="AI67" s="912"/>
      <c r="AJ67" s="912"/>
      <c r="AK67" s="912"/>
      <c r="AL67" s="912"/>
      <c r="AM67" s="912"/>
      <c r="AN67" s="912"/>
      <c r="AO67" s="912"/>
      <c r="AP67" s="912"/>
      <c r="AQ67" s="912"/>
      <c r="AR67" s="912"/>
      <c r="AS67" s="912"/>
      <c r="AT67" s="912"/>
      <c r="AU67" s="913"/>
    </row>
    <row r="68" spans="2:47" ht="24.75" thickTop="1" x14ac:dyDescent="0.4"/>
  </sheetData>
  <sheetProtection algorithmName="SHA-512" hashValue="DrrwkWEwrCLb8gdfwWEKjEEFoXkwqsWYnldXKwR1LlfI4VOwSQWMHCdz/pHM7EIWuLpY9Z8pKjl/oUCQc+BtdA==" saltValue="y9U3ext6EM1nMbw5+DoiGA==" spinCount="100000" sheet="1" objects="1" scenarios="1"/>
  <mergeCells count="146">
    <mergeCell ref="B38:AU38"/>
    <mergeCell ref="B39:AU39"/>
    <mergeCell ref="B40:AU40"/>
    <mergeCell ref="B41:AU41"/>
    <mergeCell ref="AE61:AF61"/>
    <mergeCell ref="AG61:AK61"/>
    <mergeCell ref="AL61:AP61"/>
    <mergeCell ref="AQ61:AU61"/>
    <mergeCell ref="B33:Q33"/>
    <mergeCell ref="B34:Q34"/>
    <mergeCell ref="B35:Q35"/>
    <mergeCell ref="R33:AD33"/>
    <mergeCell ref="R34:AD34"/>
    <mergeCell ref="R35:AD35"/>
    <mergeCell ref="B54:AD54"/>
    <mergeCell ref="B55:AD55"/>
    <mergeCell ref="B60:AD60"/>
    <mergeCell ref="B61:AD61"/>
    <mergeCell ref="AE58:AF58"/>
    <mergeCell ref="AG58:AK58"/>
    <mergeCell ref="AL58:AP58"/>
    <mergeCell ref="B56:AD56"/>
    <mergeCell ref="B57:AD57"/>
    <mergeCell ref="B58:AD58"/>
    <mergeCell ref="B65:AU65"/>
    <mergeCell ref="B64:AU64"/>
    <mergeCell ref="B66:AU66"/>
    <mergeCell ref="B67:AU67"/>
    <mergeCell ref="B62:AK62"/>
    <mergeCell ref="AL62:AP62"/>
    <mergeCell ref="AQ62:AU62"/>
    <mergeCell ref="AE56:AF56"/>
    <mergeCell ref="AG56:AK56"/>
    <mergeCell ref="AL56:AP56"/>
    <mergeCell ref="AQ56:AU56"/>
    <mergeCell ref="AE57:AF57"/>
    <mergeCell ref="AG57:AK57"/>
    <mergeCell ref="AL57:AP57"/>
    <mergeCell ref="AQ57:AU57"/>
    <mergeCell ref="AQ58:AU58"/>
    <mergeCell ref="AE59:AF59"/>
    <mergeCell ref="AG59:AK59"/>
    <mergeCell ref="AL59:AP59"/>
    <mergeCell ref="AQ59:AU59"/>
    <mergeCell ref="AE60:AF60"/>
    <mergeCell ref="AG60:AK60"/>
    <mergeCell ref="AL60:AP60"/>
    <mergeCell ref="AQ60:AU60"/>
    <mergeCell ref="B59:AD59"/>
    <mergeCell ref="AE54:AF54"/>
    <mergeCell ref="AG54:AK54"/>
    <mergeCell ref="AL54:AP54"/>
    <mergeCell ref="AQ54:AU54"/>
    <mergeCell ref="AE55:AF55"/>
    <mergeCell ref="AG55:AK55"/>
    <mergeCell ref="AL55:AP55"/>
    <mergeCell ref="AQ55:AU55"/>
    <mergeCell ref="B43:AU43"/>
    <mergeCell ref="C45:AU45"/>
    <mergeCell ref="C46:AU46"/>
    <mergeCell ref="C52:AU52"/>
    <mergeCell ref="C47:AU47"/>
    <mergeCell ref="C48:AU48"/>
    <mergeCell ref="C49:AU49"/>
    <mergeCell ref="C50:AU50"/>
    <mergeCell ref="C51:AU51"/>
    <mergeCell ref="B13:AU13"/>
    <mergeCell ref="B27:AU27"/>
    <mergeCell ref="C12:AU12"/>
    <mergeCell ref="B20:AK20"/>
    <mergeCell ref="AL20:AP20"/>
    <mergeCell ref="AG17:AK17"/>
    <mergeCell ref="AQ14:AU14"/>
    <mergeCell ref="AQ15:AU15"/>
    <mergeCell ref="AQ17:AU17"/>
    <mergeCell ref="AE16:AF16"/>
    <mergeCell ref="AG16:AK16"/>
    <mergeCell ref="AE17:AF17"/>
    <mergeCell ref="AL17:AP17"/>
    <mergeCell ref="AG18:AK18"/>
    <mergeCell ref="B19:I19"/>
    <mergeCell ref="B22:AU22"/>
    <mergeCell ref="B23:AU23"/>
    <mergeCell ref="B24:AU24"/>
    <mergeCell ref="B25:AU25"/>
    <mergeCell ref="AG14:AK14"/>
    <mergeCell ref="AG15:AK15"/>
    <mergeCell ref="AL14:AP14"/>
    <mergeCell ref="J16:AD16"/>
    <mergeCell ref="AL36:AP36"/>
    <mergeCell ref="AQ36:AU36"/>
    <mergeCell ref="B36:AK36"/>
    <mergeCell ref="J17:AD17"/>
    <mergeCell ref="J18:AD18"/>
    <mergeCell ref="J19:AD19"/>
    <mergeCell ref="AE33:AF33"/>
    <mergeCell ref="AG33:AK33"/>
    <mergeCell ref="AG34:AK34"/>
    <mergeCell ref="AO3:AU3"/>
    <mergeCell ref="AO5:AU5"/>
    <mergeCell ref="AG2:AN2"/>
    <mergeCell ref="AG3:AN3"/>
    <mergeCell ref="AE35:AF35"/>
    <mergeCell ref="AG35:AK35"/>
    <mergeCell ref="AE34:AF34"/>
    <mergeCell ref="AL18:AP18"/>
    <mergeCell ref="AQ18:AU18"/>
    <mergeCell ref="AE19:AF19"/>
    <mergeCell ref="AG19:AK19"/>
    <mergeCell ref="AL19:AP19"/>
    <mergeCell ref="AQ19:AU19"/>
    <mergeCell ref="AQ20:AU20"/>
    <mergeCell ref="C29:AU29"/>
    <mergeCell ref="C31:AU31"/>
    <mergeCell ref="C30:AU30"/>
    <mergeCell ref="AL33:AP33"/>
    <mergeCell ref="AQ33:AU33"/>
    <mergeCell ref="AL34:AP34"/>
    <mergeCell ref="AQ34:AU34"/>
    <mergeCell ref="AL35:AP35"/>
    <mergeCell ref="AL15:AP15"/>
    <mergeCell ref="AQ35:AU35"/>
    <mergeCell ref="AO4:AU4"/>
    <mergeCell ref="B9:AU9"/>
    <mergeCell ref="AX2:AX4"/>
    <mergeCell ref="BF5:BF6"/>
    <mergeCell ref="B17:I17"/>
    <mergeCell ref="B18:I18"/>
    <mergeCell ref="AE18:AF18"/>
    <mergeCell ref="AG5:AN5"/>
    <mergeCell ref="B7:AU7"/>
    <mergeCell ref="B8:AU8"/>
    <mergeCell ref="C10:AU10"/>
    <mergeCell ref="C11:AU11"/>
    <mergeCell ref="B2:W5"/>
    <mergeCell ref="AG4:AN4"/>
    <mergeCell ref="AL16:AP16"/>
    <mergeCell ref="AQ16:AU16"/>
    <mergeCell ref="B14:I14"/>
    <mergeCell ref="B15:I15"/>
    <mergeCell ref="B16:I16"/>
    <mergeCell ref="AE14:AF14"/>
    <mergeCell ref="AE15:AF15"/>
    <mergeCell ref="J14:AD14"/>
    <mergeCell ref="J15:AD15"/>
    <mergeCell ref="AO2:AU2"/>
  </mergeCells>
  <phoneticPr fontId="1"/>
  <conditionalFormatting sqref="BG15:BG20 BF5:BG7 BG34:BG36">
    <cfRule type="containsText" dxfId="8" priority="7" operator="containsText" text="×">
      <formula>NOT(ISERROR(SEARCH("×",BF5)))</formula>
    </cfRule>
  </conditionalFormatting>
  <conditionalFormatting sqref="BH15:BH20 BH5:BH7 BH34:BH36">
    <cfRule type="containsText" dxfId="7" priority="6" operator="containsText" text="要修正">
      <formula>NOT(ISERROR(SEARCH("要修正",BH5)))</formula>
    </cfRule>
  </conditionalFormatting>
  <conditionalFormatting sqref="B8:AU8">
    <cfRule type="containsText" dxfId="6" priority="4" operator="containsText" text="×">
      <formula>NOT(ISERROR(SEARCH("×",B8)))</formula>
    </cfRule>
  </conditionalFormatting>
  <conditionalFormatting sqref="B43:AU43">
    <cfRule type="containsText" dxfId="5" priority="3" operator="containsText" text="×">
      <formula>NOT(ISERROR(SEARCH("×",B43)))</formula>
    </cfRule>
  </conditionalFormatting>
  <conditionalFormatting sqref="B27:AU27">
    <cfRule type="containsText" dxfId="4" priority="2" operator="containsText" text="×">
      <formula>NOT(ISERROR(SEARCH("×",B27)))</formula>
    </cfRule>
  </conditionalFormatting>
  <conditionalFormatting sqref="B62:AK62">
    <cfRule type="containsText" dxfId="3" priority="1" operator="containsText" text="注意">
      <formula>NOT(ISERROR(SEARCH("注意",B62)))</formula>
    </cfRule>
  </conditionalFormatting>
  <dataValidations xWindow="178" yWindow="1128" count="5">
    <dataValidation type="list" allowBlank="1" showInputMessage="1" showErrorMessage="1" sqref="J32 J53" xr:uid="{00000000-0002-0000-0700-000000000000}">
      <formula1>$BG$43:$BG$44</formula1>
    </dataValidation>
    <dataValidation allowBlank="1" showInputMessage="1" showErrorMessage="1" promptTitle="品名の入力" prompt="購入予定であるサーモグラフィーカメラの品名を入力してください。（型番のみの入力の場合、購入内容が不明のため修正を依頼させていただきますのでご注意ください。）" sqref="B34:I35" xr:uid="{00000000-0002-0000-0700-000004000000}"/>
    <dataValidation type="whole" operator="greaterThanOrEqual" allowBlank="1" showInputMessage="1" showErrorMessage="1" sqref="AE34:AF35 AE15:AF19 AE55:AF61" xr:uid="{3CE802D7-9A8A-4862-9544-29242C3913A7}">
      <formula1>1</formula1>
    </dataValidation>
    <dataValidation type="whole" operator="greaterThanOrEqual" allowBlank="1" showInputMessage="1" showErrorMessage="1" sqref="AG15:AK19 AG34:AK35 AG55:AK61" xr:uid="{E706EB6A-590C-4B10-A7E4-372D1C3AC92B}">
      <formula1>0</formula1>
    </dataValidation>
    <dataValidation allowBlank="1" showErrorMessage="1" promptTitle="品名の入力" prompt="購入予定であるサーモグラフィーカメラの品名を入力してください。（型番のみの入力の場合、購入内容が不明のため修正を依頼させていただきますのでご注意ください。）" sqref="B55:AD61" xr:uid="{986BDDF1-6538-4F22-87D2-F8B93848AA35}"/>
  </dataValidations>
  <pageMargins left="0.7" right="0.7" top="0.75" bottom="0.75" header="0.3" footer="0.3"/>
  <pageSetup paperSize="9" scale="46" fitToHeight="0" orientation="portrait" r:id="rId1"/>
  <colBreaks count="1" manualBreakCount="1">
    <brk id="3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tint="0.39997558519241921"/>
    <pageSetUpPr fitToPage="1"/>
  </sheetPr>
  <dimension ref="B1:AF44"/>
  <sheetViews>
    <sheetView showGridLines="0" view="pageBreakPreview" topLeftCell="A10" zoomScale="60" zoomScaleNormal="100" workbookViewId="0">
      <selection activeCell="L20" sqref="L20"/>
    </sheetView>
  </sheetViews>
  <sheetFormatPr defaultColWidth="9" defaultRowHeight="18" x14ac:dyDescent="0.4"/>
  <cols>
    <col min="1" max="1" width="5.625" style="278" customWidth="1"/>
    <col min="2" max="8" width="12.625" style="278" customWidth="1"/>
    <col min="9" max="9" width="5.625" style="278" customWidth="1"/>
    <col min="10" max="23" width="9" style="278"/>
    <col min="24" max="24" width="11.625" style="278" bestFit="1" customWidth="1"/>
    <col min="25" max="25" width="10.5" style="278" bestFit="1" customWidth="1"/>
    <col min="26" max="26" width="10.75" style="278" bestFit="1" customWidth="1"/>
    <col min="27" max="264" width="9" style="278"/>
    <col min="265" max="265" width="12.5" style="278" customWidth="1"/>
    <col min="266" max="268" width="10.625" style="278" customWidth="1"/>
    <col min="269" max="271" width="12.625" style="278" customWidth="1"/>
    <col min="272" max="272" width="9" style="278"/>
    <col min="273" max="273" width="11.625" style="278" bestFit="1" customWidth="1"/>
    <col min="274" max="520" width="9" style="278"/>
    <col min="521" max="521" width="12.5" style="278" customWidth="1"/>
    <col min="522" max="524" width="10.625" style="278" customWidth="1"/>
    <col min="525" max="527" width="12.625" style="278" customWidth="1"/>
    <col min="528" max="528" width="9" style="278"/>
    <col min="529" max="529" width="11.625" style="278" bestFit="1" customWidth="1"/>
    <col min="530" max="776" width="9" style="278"/>
    <col min="777" max="777" width="12.5" style="278" customWidth="1"/>
    <col min="778" max="780" width="10.625" style="278" customWidth="1"/>
    <col min="781" max="783" width="12.625" style="278" customWidth="1"/>
    <col min="784" max="784" width="9" style="278"/>
    <col min="785" max="785" width="11.625" style="278" bestFit="1" customWidth="1"/>
    <col min="786" max="1032" width="9" style="278"/>
    <col min="1033" max="1033" width="12.5" style="278" customWidth="1"/>
    <col min="1034" max="1036" width="10.625" style="278" customWidth="1"/>
    <col min="1037" max="1039" width="12.625" style="278" customWidth="1"/>
    <col min="1040" max="1040" width="9" style="278"/>
    <col min="1041" max="1041" width="11.625" style="278" bestFit="1" customWidth="1"/>
    <col min="1042" max="1288" width="9" style="278"/>
    <col min="1289" max="1289" width="12.5" style="278" customWidth="1"/>
    <col min="1290" max="1292" width="10.625" style="278" customWidth="1"/>
    <col min="1293" max="1295" width="12.625" style="278" customWidth="1"/>
    <col min="1296" max="1296" width="9" style="278"/>
    <col min="1297" max="1297" width="11.625" style="278" bestFit="1" customWidth="1"/>
    <col min="1298" max="1544" width="9" style="278"/>
    <col min="1545" max="1545" width="12.5" style="278" customWidth="1"/>
    <col min="1546" max="1548" width="10.625" style="278" customWidth="1"/>
    <col min="1549" max="1551" width="12.625" style="278" customWidth="1"/>
    <col min="1552" max="1552" width="9" style="278"/>
    <col min="1553" max="1553" width="11.625" style="278" bestFit="1" customWidth="1"/>
    <col min="1554" max="1800" width="9" style="278"/>
    <col min="1801" max="1801" width="12.5" style="278" customWidth="1"/>
    <col min="1802" max="1804" width="10.625" style="278" customWidth="1"/>
    <col min="1805" max="1807" width="12.625" style="278" customWidth="1"/>
    <col min="1808" max="1808" width="9" style="278"/>
    <col min="1809" max="1809" width="11.625" style="278" bestFit="1" customWidth="1"/>
    <col min="1810" max="2056" width="9" style="278"/>
    <col min="2057" max="2057" width="12.5" style="278" customWidth="1"/>
    <col min="2058" max="2060" width="10.625" style="278" customWidth="1"/>
    <col min="2061" max="2063" width="12.625" style="278" customWidth="1"/>
    <col min="2064" max="2064" width="9" style="278"/>
    <col min="2065" max="2065" width="11.625" style="278" bestFit="1" customWidth="1"/>
    <col min="2066" max="2312" width="9" style="278"/>
    <col min="2313" max="2313" width="12.5" style="278" customWidth="1"/>
    <col min="2314" max="2316" width="10.625" style="278" customWidth="1"/>
    <col min="2317" max="2319" width="12.625" style="278" customWidth="1"/>
    <col min="2320" max="2320" width="9" style="278"/>
    <col min="2321" max="2321" width="11.625" style="278" bestFit="1" customWidth="1"/>
    <col min="2322" max="2568" width="9" style="278"/>
    <col min="2569" max="2569" width="12.5" style="278" customWidth="1"/>
    <col min="2570" max="2572" width="10.625" style="278" customWidth="1"/>
    <col min="2573" max="2575" width="12.625" style="278" customWidth="1"/>
    <col min="2576" max="2576" width="9" style="278"/>
    <col min="2577" max="2577" width="11.625" style="278" bestFit="1" customWidth="1"/>
    <col min="2578" max="2824" width="9" style="278"/>
    <col min="2825" max="2825" width="12.5" style="278" customWidth="1"/>
    <col min="2826" max="2828" width="10.625" style="278" customWidth="1"/>
    <col min="2829" max="2831" width="12.625" style="278" customWidth="1"/>
    <col min="2832" max="2832" width="9" style="278"/>
    <col min="2833" max="2833" width="11.625" style="278" bestFit="1" customWidth="1"/>
    <col min="2834" max="3080" width="9" style="278"/>
    <col min="3081" max="3081" width="12.5" style="278" customWidth="1"/>
    <col min="3082" max="3084" width="10.625" style="278" customWidth="1"/>
    <col min="3085" max="3087" width="12.625" style="278" customWidth="1"/>
    <col min="3088" max="3088" width="9" style="278"/>
    <col min="3089" max="3089" width="11.625" style="278" bestFit="1" customWidth="1"/>
    <col min="3090" max="3336" width="9" style="278"/>
    <col min="3337" max="3337" width="12.5" style="278" customWidth="1"/>
    <col min="3338" max="3340" width="10.625" style="278" customWidth="1"/>
    <col min="3341" max="3343" width="12.625" style="278" customWidth="1"/>
    <col min="3344" max="3344" width="9" style="278"/>
    <col min="3345" max="3345" width="11.625" style="278" bestFit="1" customWidth="1"/>
    <col min="3346" max="3592" width="9" style="278"/>
    <col min="3593" max="3593" width="12.5" style="278" customWidth="1"/>
    <col min="3594" max="3596" width="10.625" style="278" customWidth="1"/>
    <col min="3597" max="3599" width="12.625" style="278" customWidth="1"/>
    <col min="3600" max="3600" width="9" style="278"/>
    <col min="3601" max="3601" width="11.625" style="278" bestFit="1" customWidth="1"/>
    <col min="3602" max="3848" width="9" style="278"/>
    <col min="3849" max="3849" width="12.5" style="278" customWidth="1"/>
    <col min="3850" max="3852" width="10.625" style="278" customWidth="1"/>
    <col min="3853" max="3855" width="12.625" style="278" customWidth="1"/>
    <col min="3856" max="3856" width="9" style="278"/>
    <col min="3857" max="3857" width="11.625" style="278" bestFit="1" customWidth="1"/>
    <col min="3858" max="4104" width="9" style="278"/>
    <col min="4105" max="4105" width="12.5" style="278" customWidth="1"/>
    <col min="4106" max="4108" width="10.625" style="278" customWidth="1"/>
    <col min="4109" max="4111" width="12.625" style="278" customWidth="1"/>
    <col min="4112" max="4112" width="9" style="278"/>
    <col min="4113" max="4113" width="11.625" style="278" bestFit="1" customWidth="1"/>
    <col min="4114" max="4360" width="9" style="278"/>
    <col min="4361" max="4361" width="12.5" style="278" customWidth="1"/>
    <col min="4362" max="4364" width="10.625" style="278" customWidth="1"/>
    <col min="4365" max="4367" width="12.625" style="278" customWidth="1"/>
    <col min="4368" max="4368" width="9" style="278"/>
    <col min="4369" max="4369" width="11.625" style="278" bestFit="1" customWidth="1"/>
    <col min="4370" max="4616" width="9" style="278"/>
    <col min="4617" max="4617" width="12.5" style="278" customWidth="1"/>
    <col min="4618" max="4620" width="10.625" style="278" customWidth="1"/>
    <col min="4621" max="4623" width="12.625" style="278" customWidth="1"/>
    <col min="4624" max="4624" width="9" style="278"/>
    <col min="4625" max="4625" width="11.625" style="278" bestFit="1" customWidth="1"/>
    <col min="4626" max="4872" width="9" style="278"/>
    <col min="4873" max="4873" width="12.5" style="278" customWidth="1"/>
    <col min="4874" max="4876" width="10.625" style="278" customWidth="1"/>
    <col min="4877" max="4879" width="12.625" style="278" customWidth="1"/>
    <col min="4880" max="4880" width="9" style="278"/>
    <col min="4881" max="4881" width="11.625" style="278" bestFit="1" customWidth="1"/>
    <col min="4882" max="5128" width="9" style="278"/>
    <col min="5129" max="5129" width="12.5" style="278" customWidth="1"/>
    <col min="5130" max="5132" width="10.625" style="278" customWidth="1"/>
    <col min="5133" max="5135" width="12.625" style="278" customWidth="1"/>
    <col min="5136" max="5136" width="9" style="278"/>
    <col min="5137" max="5137" width="11.625" style="278" bestFit="1" customWidth="1"/>
    <col min="5138" max="5384" width="9" style="278"/>
    <col min="5385" max="5385" width="12.5" style="278" customWidth="1"/>
    <col min="5386" max="5388" width="10.625" style="278" customWidth="1"/>
    <col min="5389" max="5391" width="12.625" style="278" customWidth="1"/>
    <col min="5392" max="5392" width="9" style="278"/>
    <col min="5393" max="5393" width="11.625" style="278" bestFit="1" customWidth="1"/>
    <col min="5394" max="5640" width="9" style="278"/>
    <col min="5641" max="5641" width="12.5" style="278" customWidth="1"/>
    <col min="5642" max="5644" width="10.625" style="278" customWidth="1"/>
    <col min="5645" max="5647" width="12.625" style="278" customWidth="1"/>
    <col min="5648" max="5648" width="9" style="278"/>
    <col min="5649" max="5649" width="11.625" style="278" bestFit="1" customWidth="1"/>
    <col min="5650" max="5896" width="9" style="278"/>
    <col min="5897" max="5897" width="12.5" style="278" customWidth="1"/>
    <col min="5898" max="5900" width="10.625" style="278" customWidth="1"/>
    <col min="5901" max="5903" width="12.625" style="278" customWidth="1"/>
    <col min="5904" max="5904" width="9" style="278"/>
    <col min="5905" max="5905" width="11.625" style="278" bestFit="1" customWidth="1"/>
    <col min="5906" max="6152" width="9" style="278"/>
    <col min="6153" max="6153" width="12.5" style="278" customWidth="1"/>
    <col min="6154" max="6156" width="10.625" style="278" customWidth="1"/>
    <col min="6157" max="6159" width="12.625" style="278" customWidth="1"/>
    <col min="6160" max="6160" width="9" style="278"/>
    <col min="6161" max="6161" width="11.625" style="278" bestFit="1" customWidth="1"/>
    <col min="6162" max="6408" width="9" style="278"/>
    <col min="6409" max="6409" width="12.5" style="278" customWidth="1"/>
    <col min="6410" max="6412" width="10.625" style="278" customWidth="1"/>
    <col min="6413" max="6415" width="12.625" style="278" customWidth="1"/>
    <col min="6416" max="6416" width="9" style="278"/>
    <col min="6417" max="6417" width="11.625" style="278" bestFit="1" customWidth="1"/>
    <col min="6418" max="6664" width="9" style="278"/>
    <col min="6665" max="6665" width="12.5" style="278" customWidth="1"/>
    <col min="6666" max="6668" width="10.625" style="278" customWidth="1"/>
    <col min="6669" max="6671" width="12.625" style="278" customWidth="1"/>
    <col min="6672" max="6672" width="9" style="278"/>
    <col min="6673" max="6673" width="11.625" style="278" bestFit="1" customWidth="1"/>
    <col min="6674" max="6920" width="9" style="278"/>
    <col min="6921" max="6921" width="12.5" style="278" customWidth="1"/>
    <col min="6922" max="6924" width="10.625" style="278" customWidth="1"/>
    <col min="6925" max="6927" width="12.625" style="278" customWidth="1"/>
    <col min="6928" max="6928" width="9" style="278"/>
    <col min="6929" max="6929" width="11.625" style="278" bestFit="1" customWidth="1"/>
    <col min="6930" max="7176" width="9" style="278"/>
    <col min="7177" max="7177" width="12.5" style="278" customWidth="1"/>
    <col min="7178" max="7180" width="10.625" style="278" customWidth="1"/>
    <col min="7181" max="7183" width="12.625" style="278" customWidth="1"/>
    <col min="7184" max="7184" width="9" style="278"/>
    <col min="7185" max="7185" width="11.625" style="278" bestFit="1" customWidth="1"/>
    <col min="7186" max="7432" width="9" style="278"/>
    <col min="7433" max="7433" width="12.5" style="278" customWidth="1"/>
    <col min="7434" max="7436" width="10.625" style="278" customWidth="1"/>
    <col min="7437" max="7439" width="12.625" style="278" customWidth="1"/>
    <col min="7440" max="7440" width="9" style="278"/>
    <col min="7441" max="7441" width="11.625" style="278" bestFit="1" customWidth="1"/>
    <col min="7442" max="7688" width="9" style="278"/>
    <col min="7689" max="7689" width="12.5" style="278" customWidth="1"/>
    <col min="7690" max="7692" width="10.625" style="278" customWidth="1"/>
    <col min="7693" max="7695" width="12.625" style="278" customWidth="1"/>
    <col min="7696" max="7696" width="9" style="278"/>
    <col min="7697" max="7697" width="11.625" style="278" bestFit="1" customWidth="1"/>
    <col min="7698" max="7944" width="9" style="278"/>
    <col min="7945" max="7945" width="12.5" style="278" customWidth="1"/>
    <col min="7946" max="7948" width="10.625" style="278" customWidth="1"/>
    <col min="7949" max="7951" width="12.625" style="278" customWidth="1"/>
    <col min="7952" max="7952" width="9" style="278"/>
    <col min="7953" max="7953" width="11.625" style="278" bestFit="1" customWidth="1"/>
    <col min="7954" max="8200" width="9" style="278"/>
    <col min="8201" max="8201" width="12.5" style="278" customWidth="1"/>
    <col min="8202" max="8204" width="10.625" style="278" customWidth="1"/>
    <col min="8205" max="8207" width="12.625" style="278" customWidth="1"/>
    <col min="8208" max="8208" width="9" style="278"/>
    <col min="8209" max="8209" width="11.625" style="278" bestFit="1" customWidth="1"/>
    <col min="8210" max="8456" width="9" style="278"/>
    <col min="8457" max="8457" width="12.5" style="278" customWidth="1"/>
    <col min="8458" max="8460" width="10.625" style="278" customWidth="1"/>
    <col min="8461" max="8463" width="12.625" style="278" customWidth="1"/>
    <col min="8464" max="8464" width="9" style="278"/>
    <col min="8465" max="8465" width="11.625" style="278" bestFit="1" customWidth="1"/>
    <col min="8466" max="8712" width="9" style="278"/>
    <col min="8713" max="8713" width="12.5" style="278" customWidth="1"/>
    <col min="8714" max="8716" width="10.625" style="278" customWidth="1"/>
    <col min="8717" max="8719" width="12.625" style="278" customWidth="1"/>
    <col min="8720" max="8720" width="9" style="278"/>
    <col min="8721" max="8721" width="11.625" style="278" bestFit="1" customWidth="1"/>
    <col min="8722" max="8968" width="9" style="278"/>
    <col min="8969" max="8969" width="12.5" style="278" customWidth="1"/>
    <col min="8970" max="8972" width="10.625" style="278" customWidth="1"/>
    <col min="8973" max="8975" width="12.625" style="278" customWidth="1"/>
    <col min="8976" max="8976" width="9" style="278"/>
    <col min="8977" max="8977" width="11.625" style="278" bestFit="1" customWidth="1"/>
    <col min="8978" max="9224" width="9" style="278"/>
    <col min="9225" max="9225" width="12.5" style="278" customWidth="1"/>
    <col min="9226" max="9228" width="10.625" style="278" customWidth="1"/>
    <col min="9229" max="9231" width="12.625" style="278" customWidth="1"/>
    <col min="9232" max="9232" width="9" style="278"/>
    <col min="9233" max="9233" width="11.625" style="278" bestFit="1" customWidth="1"/>
    <col min="9234" max="9480" width="9" style="278"/>
    <col min="9481" max="9481" width="12.5" style="278" customWidth="1"/>
    <col min="9482" max="9484" width="10.625" style="278" customWidth="1"/>
    <col min="9485" max="9487" width="12.625" style="278" customWidth="1"/>
    <col min="9488" max="9488" width="9" style="278"/>
    <col min="9489" max="9489" width="11.625" style="278" bestFit="1" customWidth="1"/>
    <col min="9490" max="9736" width="9" style="278"/>
    <col min="9737" max="9737" width="12.5" style="278" customWidth="1"/>
    <col min="9738" max="9740" width="10.625" style="278" customWidth="1"/>
    <col min="9741" max="9743" width="12.625" style="278" customWidth="1"/>
    <col min="9744" max="9744" width="9" style="278"/>
    <col min="9745" max="9745" width="11.625" style="278" bestFit="1" customWidth="1"/>
    <col min="9746" max="9992" width="9" style="278"/>
    <col min="9993" max="9993" width="12.5" style="278" customWidth="1"/>
    <col min="9994" max="9996" width="10.625" style="278" customWidth="1"/>
    <col min="9997" max="9999" width="12.625" style="278" customWidth="1"/>
    <col min="10000" max="10000" width="9" style="278"/>
    <col min="10001" max="10001" width="11.625" style="278" bestFit="1" customWidth="1"/>
    <col min="10002" max="10248" width="9" style="278"/>
    <col min="10249" max="10249" width="12.5" style="278" customWidth="1"/>
    <col min="10250" max="10252" width="10.625" style="278" customWidth="1"/>
    <col min="10253" max="10255" width="12.625" style="278" customWidth="1"/>
    <col min="10256" max="10256" width="9" style="278"/>
    <col min="10257" max="10257" width="11.625" style="278" bestFit="1" customWidth="1"/>
    <col min="10258" max="10504" width="9" style="278"/>
    <col min="10505" max="10505" width="12.5" style="278" customWidth="1"/>
    <col min="10506" max="10508" width="10.625" style="278" customWidth="1"/>
    <col min="10509" max="10511" width="12.625" style="278" customWidth="1"/>
    <col min="10512" max="10512" width="9" style="278"/>
    <col min="10513" max="10513" width="11.625" style="278" bestFit="1" customWidth="1"/>
    <col min="10514" max="10760" width="9" style="278"/>
    <col min="10761" max="10761" width="12.5" style="278" customWidth="1"/>
    <col min="10762" max="10764" width="10.625" style="278" customWidth="1"/>
    <col min="10765" max="10767" width="12.625" style="278" customWidth="1"/>
    <col min="10768" max="10768" width="9" style="278"/>
    <col min="10769" max="10769" width="11.625" style="278" bestFit="1" customWidth="1"/>
    <col min="10770" max="11016" width="9" style="278"/>
    <col min="11017" max="11017" width="12.5" style="278" customWidth="1"/>
    <col min="11018" max="11020" width="10.625" style="278" customWidth="1"/>
    <col min="11021" max="11023" width="12.625" style="278" customWidth="1"/>
    <col min="11024" max="11024" width="9" style="278"/>
    <col min="11025" max="11025" width="11.625" style="278" bestFit="1" customWidth="1"/>
    <col min="11026" max="11272" width="9" style="278"/>
    <col min="11273" max="11273" width="12.5" style="278" customWidth="1"/>
    <col min="11274" max="11276" width="10.625" style="278" customWidth="1"/>
    <col min="11277" max="11279" width="12.625" style="278" customWidth="1"/>
    <col min="11280" max="11280" width="9" style="278"/>
    <col min="11281" max="11281" width="11.625" style="278" bestFit="1" customWidth="1"/>
    <col min="11282" max="11528" width="9" style="278"/>
    <col min="11529" max="11529" width="12.5" style="278" customWidth="1"/>
    <col min="11530" max="11532" width="10.625" style="278" customWidth="1"/>
    <col min="11533" max="11535" width="12.625" style="278" customWidth="1"/>
    <col min="11536" max="11536" width="9" style="278"/>
    <col min="11537" max="11537" width="11.625" style="278" bestFit="1" customWidth="1"/>
    <col min="11538" max="11784" width="9" style="278"/>
    <col min="11785" max="11785" width="12.5" style="278" customWidth="1"/>
    <col min="11786" max="11788" width="10.625" style="278" customWidth="1"/>
    <col min="11789" max="11791" width="12.625" style="278" customWidth="1"/>
    <col min="11792" max="11792" width="9" style="278"/>
    <col min="11793" max="11793" width="11.625" style="278" bestFit="1" customWidth="1"/>
    <col min="11794" max="12040" width="9" style="278"/>
    <col min="12041" max="12041" width="12.5" style="278" customWidth="1"/>
    <col min="12042" max="12044" width="10.625" style="278" customWidth="1"/>
    <col min="12045" max="12047" width="12.625" style="278" customWidth="1"/>
    <col min="12048" max="12048" width="9" style="278"/>
    <col min="12049" max="12049" width="11.625" style="278" bestFit="1" customWidth="1"/>
    <col min="12050" max="12296" width="9" style="278"/>
    <col min="12297" max="12297" width="12.5" style="278" customWidth="1"/>
    <col min="12298" max="12300" width="10.625" style="278" customWidth="1"/>
    <col min="12301" max="12303" width="12.625" style="278" customWidth="1"/>
    <col min="12304" max="12304" width="9" style="278"/>
    <col min="12305" max="12305" width="11.625" style="278" bestFit="1" customWidth="1"/>
    <col min="12306" max="12552" width="9" style="278"/>
    <col min="12553" max="12553" width="12.5" style="278" customWidth="1"/>
    <col min="12554" max="12556" width="10.625" style="278" customWidth="1"/>
    <col min="12557" max="12559" width="12.625" style="278" customWidth="1"/>
    <col min="12560" max="12560" width="9" style="278"/>
    <col min="12561" max="12561" width="11.625" style="278" bestFit="1" customWidth="1"/>
    <col min="12562" max="12808" width="9" style="278"/>
    <col min="12809" max="12809" width="12.5" style="278" customWidth="1"/>
    <col min="12810" max="12812" width="10.625" style="278" customWidth="1"/>
    <col min="12813" max="12815" width="12.625" style="278" customWidth="1"/>
    <col min="12816" max="12816" width="9" style="278"/>
    <col min="12817" max="12817" width="11.625" style="278" bestFit="1" customWidth="1"/>
    <col min="12818" max="13064" width="9" style="278"/>
    <col min="13065" max="13065" width="12.5" style="278" customWidth="1"/>
    <col min="13066" max="13068" width="10.625" style="278" customWidth="1"/>
    <col min="13069" max="13071" width="12.625" style="278" customWidth="1"/>
    <col min="13072" max="13072" width="9" style="278"/>
    <col min="13073" max="13073" width="11.625" style="278" bestFit="1" customWidth="1"/>
    <col min="13074" max="13320" width="9" style="278"/>
    <col min="13321" max="13321" width="12.5" style="278" customWidth="1"/>
    <col min="13322" max="13324" width="10.625" style="278" customWidth="1"/>
    <col min="13325" max="13327" width="12.625" style="278" customWidth="1"/>
    <col min="13328" max="13328" width="9" style="278"/>
    <col min="13329" max="13329" width="11.625" style="278" bestFit="1" customWidth="1"/>
    <col min="13330" max="13576" width="9" style="278"/>
    <col min="13577" max="13577" width="12.5" style="278" customWidth="1"/>
    <col min="13578" max="13580" width="10.625" style="278" customWidth="1"/>
    <col min="13581" max="13583" width="12.625" style="278" customWidth="1"/>
    <col min="13584" max="13584" width="9" style="278"/>
    <col min="13585" max="13585" width="11.625" style="278" bestFit="1" customWidth="1"/>
    <col min="13586" max="13832" width="9" style="278"/>
    <col min="13833" max="13833" width="12.5" style="278" customWidth="1"/>
    <col min="13834" max="13836" width="10.625" style="278" customWidth="1"/>
    <col min="13837" max="13839" width="12.625" style="278" customWidth="1"/>
    <col min="13840" max="13840" width="9" style="278"/>
    <col min="13841" max="13841" width="11.625" style="278" bestFit="1" customWidth="1"/>
    <col min="13842" max="14088" width="9" style="278"/>
    <col min="14089" max="14089" width="12.5" style="278" customWidth="1"/>
    <col min="14090" max="14092" width="10.625" style="278" customWidth="1"/>
    <col min="14093" max="14095" width="12.625" style="278" customWidth="1"/>
    <col min="14096" max="14096" width="9" style="278"/>
    <col min="14097" max="14097" width="11.625" style="278" bestFit="1" customWidth="1"/>
    <col min="14098" max="14344" width="9" style="278"/>
    <col min="14345" max="14345" width="12.5" style="278" customWidth="1"/>
    <col min="14346" max="14348" width="10.625" style="278" customWidth="1"/>
    <col min="14349" max="14351" width="12.625" style="278" customWidth="1"/>
    <col min="14352" max="14352" width="9" style="278"/>
    <col min="14353" max="14353" width="11.625" style="278" bestFit="1" customWidth="1"/>
    <col min="14354" max="14600" width="9" style="278"/>
    <col min="14601" max="14601" width="12.5" style="278" customWidth="1"/>
    <col min="14602" max="14604" width="10.625" style="278" customWidth="1"/>
    <col min="14605" max="14607" width="12.625" style="278" customWidth="1"/>
    <col min="14608" max="14608" width="9" style="278"/>
    <col min="14609" max="14609" width="11.625" style="278" bestFit="1" customWidth="1"/>
    <col min="14610" max="14856" width="9" style="278"/>
    <col min="14857" max="14857" width="12.5" style="278" customWidth="1"/>
    <col min="14858" max="14860" width="10.625" style="278" customWidth="1"/>
    <col min="14861" max="14863" width="12.625" style="278" customWidth="1"/>
    <col min="14864" max="14864" width="9" style="278"/>
    <col min="14865" max="14865" width="11.625" style="278" bestFit="1" customWidth="1"/>
    <col min="14866" max="15112" width="9" style="278"/>
    <col min="15113" max="15113" width="12.5" style="278" customWidth="1"/>
    <col min="15114" max="15116" width="10.625" style="278" customWidth="1"/>
    <col min="15117" max="15119" width="12.625" style="278" customWidth="1"/>
    <col min="15120" max="15120" width="9" style="278"/>
    <col min="15121" max="15121" width="11.625" style="278" bestFit="1" customWidth="1"/>
    <col min="15122" max="15368" width="9" style="278"/>
    <col min="15369" max="15369" width="12.5" style="278" customWidth="1"/>
    <col min="15370" max="15372" width="10.625" style="278" customWidth="1"/>
    <col min="15373" max="15375" width="12.625" style="278" customWidth="1"/>
    <col min="15376" max="15376" width="9" style="278"/>
    <col min="15377" max="15377" width="11.625" style="278" bestFit="1" customWidth="1"/>
    <col min="15378" max="15624" width="9" style="278"/>
    <col min="15625" max="15625" width="12.5" style="278" customWidth="1"/>
    <col min="15626" max="15628" width="10.625" style="278" customWidth="1"/>
    <col min="15629" max="15631" width="12.625" style="278" customWidth="1"/>
    <col min="15632" max="15632" width="9" style="278"/>
    <col min="15633" max="15633" width="11.625" style="278" bestFit="1" customWidth="1"/>
    <col min="15634" max="15880" width="9" style="278"/>
    <col min="15881" max="15881" width="12.5" style="278" customWidth="1"/>
    <col min="15882" max="15884" width="10.625" style="278" customWidth="1"/>
    <col min="15885" max="15887" width="12.625" style="278" customWidth="1"/>
    <col min="15888" max="15888" width="9" style="278"/>
    <col min="15889" max="15889" width="11.625" style="278" bestFit="1" customWidth="1"/>
    <col min="15890" max="16136" width="9" style="278"/>
    <col min="16137" max="16137" width="12.5" style="278" customWidth="1"/>
    <col min="16138" max="16140" width="10.625" style="278" customWidth="1"/>
    <col min="16141" max="16143" width="12.625" style="278" customWidth="1"/>
    <col min="16144" max="16144" width="9" style="278"/>
    <col min="16145" max="16145" width="11.625" style="278" bestFit="1" customWidth="1"/>
    <col min="16146" max="16384" width="9" style="278"/>
  </cols>
  <sheetData>
    <row r="1" spans="2:32" ht="21.6" customHeight="1" x14ac:dyDescent="0.4">
      <c r="B1" s="278" t="str">
        <f xml:space="preserve">
IF(OR(テーブル!B3="事前協議",テーブル!B3="交付申請兼実績報告書",テーブル!B3="交付申請",テーブル!B3="交付申請（２次以降）"),"様式１－３",
IF(テーブル!B3="変更申請","様式１－３",
IF(テーブル!B3="実績報告","様式３－３")))</f>
        <v>様式１－３</v>
      </c>
      <c r="G1" s="932"/>
      <c r="H1" s="648"/>
      <c r="I1" s="648"/>
    </row>
    <row r="2" spans="2:32" ht="35.1" customHeight="1" x14ac:dyDescent="0.4">
      <c r="B2" s="950" t="str">
        <f xml:space="preserve">
IF(テーブル!B3="交付申請兼実績報告書",
"令和５年度歳入歳出決算書（見込書）抄本",
IF(テーブル!B3="事前協議",
"令和５年度歳入歳出決算書（見込書）抄本（案）"))</f>
        <v>令和５年度歳入歳出決算書（見込書）抄本（案）</v>
      </c>
      <c r="C2" s="950"/>
      <c r="D2" s="950"/>
      <c r="E2" s="950"/>
      <c r="F2" s="950"/>
      <c r="G2" s="950"/>
      <c r="H2" s="950"/>
    </row>
    <row r="3" spans="2:32" ht="15" customHeight="1" x14ac:dyDescent="0.4">
      <c r="B3" s="278" t="s">
        <v>17</v>
      </c>
    </row>
    <row r="4" spans="2:32" ht="15" customHeight="1" x14ac:dyDescent="0.4">
      <c r="B4" s="939" t="s">
        <v>18</v>
      </c>
      <c r="C4" s="939" t="s">
        <v>19</v>
      </c>
      <c r="D4" s="939" t="s">
        <v>20</v>
      </c>
      <c r="E4" s="939" t="s">
        <v>21</v>
      </c>
      <c r="F4" s="939" t="s">
        <v>22</v>
      </c>
      <c r="G4" s="939"/>
      <c r="H4" s="939" t="s">
        <v>23</v>
      </c>
      <c r="X4" s="934" t="s">
        <v>100</v>
      </c>
      <c r="Y4" s="939" t="s">
        <v>18</v>
      </c>
      <c r="Z4" s="939" t="s">
        <v>19</v>
      </c>
      <c r="AA4" s="939" t="s">
        <v>20</v>
      </c>
      <c r="AB4" s="939" t="s">
        <v>21</v>
      </c>
      <c r="AC4" s="939" t="s">
        <v>22</v>
      </c>
      <c r="AD4" s="939"/>
    </row>
    <row r="5" spans="2:32" ht="15" customHeight="1" x14ac:dyDescent="0.4">
      <c r="B5" s="939"/>
      <c r="C5" s="939"/>
      <c r="D5" s="939"/>
      <c r="E5" s="939"/>
      <c r="F5" s="279" t="s">
        <v>24</v>
      </c>
      <c r="G5" s="279" t="s">
        <v>25</v>
      </c>
      <c r="H5" s="939"/>
      <c r="X5" s="334"/>
      <c r="Y5" s="522"/>
      <c r="Z5" s="522"/>
      <c r="AA5" s="522"/>
      <c r="AB5" s="522"/>
      <c r="AC5" s="279" t="s">
        <v>24</v>
      </c>
      <c r="AD5" s="279" t="s">
        <v>25</v>
      </c>
    </row>
    <row r="6" spans="2:32" ht="15" customHeight="1" x14ac:dyDescent="0.4">
      <c r="B6" s="947"/>
      <c r="C6" s="947"/>
      <c r="D6" s="947"/>
      <c r="E6" s="929"/>
      <c r="F6" s="947"/>
      <c r="G6" s="929"/>
      <c r="H6" s="940"/>
      <c r="X6" s="939" t="s">
        <v>98</v>
      </c>
      <c r="Y6" s="939" t="str">
        <f t="shared" ref="Y6:AD6" si="0">IF(COUNTA(B6)=1,"○","×")</f>
        <v>×</v>
      </c>
      <c r="Z6" s="939" t="str">
        <f t="shared" si="0"/>
        <v>×</v>
      </c>
      <c r="AA6" s="939" t="str">
        <f t="shared" si="0"/>
        <v>×</v>
      </c>
      <c r="AB6" s="939" t="str">
        <f t="shared" si="0"/>
        <v>×</v>
      </c>
      <c r="AC6" s="939" t="str">
        <f t="shared" si="0"/>
        <v>×</v>
      </c>
      <c r="AD6" s="939" t="str">
        <f t="shared" si="0"/>
        <v>×</v>
      </c>
      <c r="AF6" s="934" t="str">
        <f>IF(COUNTIF(Y6:AD9,"○")=12,"○","×")</f>
        <v>×</v>
      </c>
    </row>
    <row r="7" spans="2:32" ht="15" customHeight="1" x14ac:dyDescent="0.4">
      <c r="B7" s="948"/>
      <c r="C7" s="948"/>
      <c r="D7" s="948"/>
      <c r="E7" s="930"/>
      <c r="F7" s="948"/>
      <c r="G7" s="930"/>
      <c r="H7" s="941"/>
      <c r="X7" s="501"/>
      <c r="Y7" s="501"/>
      <c r="Z7" s="501"/>
      <c r="AA7" s="501"/>
      <c r="AB7" s="501"/>
      <c r="AC7" s="501"/>
      <c r="AD7" s="501"/>
      <c r="AF7" s="333"/>
    </row>
    <row r="8" spans="2:32" ht="15" customHeight="1" x14ac:dyDescent="0.4">
      <c r="B8" s="948"/>
      <c r="C8" s="948"/>
      <c r="D8" s="948"/>
      <c r="E8" s="930"/>
      <c r="F8" s="948"/>
      <c r="G8" s="930"/>
      <c r="H8" s="941"/>
      <c r="X8" s="939" t="s">
        <v>99</v>
      </c>
      <c r="Y8" s="939" t="str">
        <f t="shared" ref="Y8:AD8" si="1">IF(COUNTA(B21)=1,"○","×")</f>
        <v>×</v>
      </c>
      <c r="Z8" s="939" t="str">
        <f t="shared" si="1"/>
        <v>×</v>
      </c>
      <c r="AA8" s="939" t="str">
        <f t="shared" si="1"/>
        <v>×</v>
      </c>
      <c r="AB8" s="939" t="str">
        <f t="shared" si="1"/>
        <v>×</v>
      </c>
      <c r="AC8" s="939" t="str">
        <f t="shared" si="1"/>
        <v>×</v>
      </c>
      <c r="AD8" s="939" t="str">
        <f t="shared" si="1"/>
        <v>×</v>
      </c>
      <c r="AF8" s="333"/>
    </row>
    <row r="9" spans="2:32" ht="15" customHeight="1" x14ac:dyDescent="0.4">
      <c r="B9" s="948"/>
      <c r="C9" s="948"/>
      <c r="D9" s="948"/>
      <c r="E9" s="930"/>
      <c r="F9" s="948"/>
      <c r="G9" s="930"/>
      <c r="H9" s="941"/>
      <c r="X9" s="501"/>
      <c r="Y9" s="501"/>
      <c r="Z9" s="501"/>
      <c r="AA9" s="501"/>
      <c r="AB9" s="501"/>
      <c r="AC9" s="501"/>
      <c r="AD9" s="501"/>
      <c r="AF9" s="334"/>
    </row>
    <row r="10" spans="2:32" ht="15" customHeight="1" x14ac:dyDescent="0.4">
      <c r="B10" s="948"/>
      <c r="C10" s="948"/>
      <c r="D10" s="948"/>
      <c r="E10" s="930"/>
      <c r="F10" s="948"/>
      <c r="G10" s="930"/>
      <c r="H10" s="941"/>
    </row>
    <row r="11" spans="2:32" ht="15" customHeight="1" x14ac:dyDescent="0.4">
      <c r="B11" s="948"/>
      <c r="C11" s="948"/>
      <c r="D11" s="948"/>
      <c r="E11" s="930"/>
      <c r="F11" s="948"/>
      <c r="G11" s="930"/>
      <c r="H11" s="941"/>
      <c r="X11" s="934" t="s">
        <v>93</v>
      </c>
      <c r="Y11" s="934" t="str">
        <f xml:space="preserve">
IF(AND(はじめに入力してください!O3="○"&amp;CHAR(10)&amp;"（公立）",歳入歳出抄本!AF6="○"),"○",
IF(AND(はじめに入力してください!O3="○"&amp;CHAR(10)&amp;"（公立）",歳入歳出抄本!AF6="×"),"×",
IF(AND(はじめに入力してください!O3&lt;&gt;"○"&amp;CHAR(10)&amp;"（公立）",歳入歳出抄本!AF6="○"),"○",
IF(AND(はじめに入力してください!O3&lt;&gt;"○"&amp;CHAR(10)&amp;"（公立）",歳入歳出抄本!AF6="×"),"○",))))</f>
        <v>○</v>
      </c>
      <c r="Z11" s="935" t="str">
        <f xml:space="preserve">
IF(AND(はじめに入力してください!O3="○"&amp;CHAR(10)&amp;"（公立）",歳入歳出抄本!AF6="○"),"適切に入力がされました。",
IF(AND(はじめに入力してください!O3="○"&amp;CHAR(10)&amp;"（公立）",歳入歳出抄本!AF6="×"),"【要修正】公立機関なので作成が必要です。",
IF(AND(はじめに入力してください!O3&lt;&gt;"○"&amp;CHAR(10)&amp;"（公立）",歳入歳出抄本!AF6="○"),"公立機関ではない場合、作成不要です。"&amp;CHAR(10)&amp;"（入力されていても特段問題はありません。）",
IF(AND(はじめに入力してください!O3&lt;&gt;"○"&amp;CHAR(10)&amp;"（公立）",歳入歳出抄本!AF6="×"),"公立機関ではない場合、作成不要です。"&amp;CHAR(10)&amp;"（入力されていても特段問題はありません。）",))))</f>
        <v>公立機関ではない場合、作成不要です。
（入力されていても特段問題はありません。）</v>
      </c>
      <c r="AA11" s="936"/>
      <c r="AB11" s="936"/>
      <c r="AC11" s="936"/>
      <c r="AD11" s="936"/>
    </row>
    <row r="12" spans="2:32" ht="15" customHeight="1" x14ac:dyDescent="0.4">
      <c r="B12" s="948"/>
      <c r="C12" s="948"/>
      <c r="D12" s="948"/>
      <c r="E12" s="930"/>
      <c r="F12" s="948"/>
      <c r="G12" s="930"/>
      <c r="H12" s="941"/>
      <c r="X12" s="333"/>
      <c r="Y12" s="333"/>
      <c r="Z12" s="937"/>
      <c r="AA12" s="937"/>
      <c r="AB12" s="937"/>
      <c r="AC12" s="937"/>
      <c r="AD12" s="937"/>
    </row>
    <row r="13" spans="2:32" ht="15" customHeight="1" x14ac:dyDescent="0.4">
      <c r="B13" s="948"/>
      <c r="C13" s="948"/>
      <c r="D13" s="948"/>
      <c r="E13" s="930"/>
      <c r="F13" s="948"/>
      <c r="G13" s="930"/>
      <c r="H13" s="941"/>
      <c r="X13" s="334"/>
      <c r="Y13" s="334"/>
      <c r="Z13" s="938"/>
      <c r="AA13" s="938"/>
      <c r="AB13" s="938"/>
      <c r="AC13" s="938"/>
      <c r="AD13" s="938"/>
      <c r="AF13" s="278">
        <f>COUNTIF(Y6:AD9,"○")</f>
        <v>0</v>
      </c>
    </row>
    <row r="14" spans="2:32" ht="15" customHeight="1" x14ac:dyDescent="0.4">
      <c r="B14" s="948"/>
      <c r="C14" s="948"/>
      <c r="D14" s="948"/>
      <c r="E14" s="930"/>
      <c r="F14" s="948"/>
      <c r="G14" s="930"/>
      <c r="H14" s="941"/>
    </row>
    <row r="15" spans="2:32" ht="15" customHeight="1" x14ac:dyDescent="0.4">
      <c r="B15" s="948"/>
      <c r="C15" s="948"/>
      <c r="D15" s="948"/>
      <c r="E15" s="930"/>
      <c r="F15" s="948"/>
      <c r="G15" s="930"/>
      <c r="H15" s="941"/>
    </row>
    <row r="16" spans="2:32" ht="15" customHeight="1" x14ac:dyDescent="0.4">
      <c r="B16" s="948"/>
      <c r="C16" s="948"/>
      <c r="D16" s="948"/>
      <c r="E16" s="930"/>
      <c r="F16" s="948"/>
      <c r="G16" s="930"/>
      <c r="H16" s="941"/>
    </row>
    <row r="17" spans="2:24" ht="15" customHeight="1" x14ac:dyDescent="0.4">
      <c r="B17" s="949"/>
      <c r="C17" s="949"/>
      <c r="D17" s="949"/>
      <c r="E17" s="931"/>
      <c r="F17" s="949"/>
      <c r="G17" s="931"/>
      <c r="H17" s="942"/>
    </row>
    <row r="18" spans="2:24" ht="15" customHeight="1" x14ac:dyDescent="0.4">
      <c r="B18" s="280" t="s">
        <v>26</v>
      </c>
      <c r="C18" s="280"/>
      <c r="D18" s="280"/>
      <c r="E18" s="280"/>
      <c r="F18" s="280"/>
      <c r="G18" s="280"/>
      <c r="H18" s="280"/>
    </row>
    <row r="19" spans="2:24" ht="15" customHeight="1" x14ac:dyDescent="0.4">
      <c r="B19" s="943" t="s">
        <v>18</v>
      </c>
      <c r="C19" s="943" t="s">
        <v>19</v>
      </c>
      <c r="D19" s="943" t="s">
        <v>20</v>
      </c>
      <c r="E19" s="945" t="s">
        <v>21</v>
      </c>
      <c r="F19" s="943" t="s">
        <v>22</v>
      </c>
      <c r="G19" s="946"/>
      <c r="H19" s="943" t="s">
        <v>23</v>
      </c>
      <c r="X19" s="281"/>
    </row>
    <row r="20" spans="2:24" ht="15" customHeight="1" x14ac:dyDescent="0.4">
      <c r="B20" s="943"/>
      <c r="C20" s="943"/>
      <c r="D20" s="943"/>
      <c r="E20" s="945"/>
      <c r="F20" s="282" t="s">
        <v>24</v>
      </c>
      <c r="G20" s="283" t="s">
        <v>25</v>
      </c>
      <c r="H20" s="943"/>
      <c r="X20" s="281"/>
    </row>
    <row r="21" spans="2:24" ht="15" customHeight="1" x14ac:dyDescent="0.4">
      <c r="B21" s="947"/>
      <c r="C21" s="947"/>
      <c r="D21" s="947"/>
      <c r="E21" s="929"/>
      <c r="F21" s="947"/>
      <c r="G21" s="929"/>
      <c r="H21" s="940"/>
      <c r="X21" s="281"/>
    </row>
    <row r="22" spans="2:24" ht="15" customHeight="1" x14ac:dyDescent="0.4">
      <c r="B22" s="948"/>
      <c r="C22" s="948"/>
      <c r="D22" s="948"/>
      <c r="E22" s="930"/>
      <c r="F22" s="948"/>
      <c r="G22" s="930"/>
      <c r="H22" s="941"/>
      <c r="X22" s="281"/>
    </row>
    <row r="23" spans="2:24" ht="15" customHeight="1" x14ac:dyDescent="0.4">
      <c r="B23" s="948"/>
      <c r="C23" s="948"/>
      <c r="D23" s="948"/>
      <c r="E23" s="930"/>
      <c r="F23" s="948"/>
      <c r="G23" s="930"/>
      <c r="H23" s="941"/>
      <c r="X23" s="284"/>
    </row>
    <row r="24" spans="2:24" ht="15" customHeight="1" x14ac:dyDescent="0.4">
      <c r="B24" s="948"/>
      <c r="C24" s="948"/>
      <c r="D24" s="948"/>
      <c r="E24" s="930"/>
      <c r="F24" s="948"/>
      <c r="G24" s="930"/>
      <c r="H24" s="941"/>
      <c r="X24" s="281"/>
    </row>
    <row r="25" spans="2:24" ht="15" customHeight="1" x14ac:dyDescent="0.4">
      <c r="B25" s="948"/>
      <c r="C25" s="948"/>
      <c r="D25" s="948"/>
      <c r="E25" s="930"/>
      <c r="F25" s="948"/>
      <c r="G25" s="930"/>
      <c r="H25" s="941"/>
      <c r="X25" s="281"/>
    </row>
    <row r="26" spans="2:24" ht="15" customHeight="1" x14ac:dyDescent="0.4">
      <c r="B26" s="948"/>
      <c r="C26" s="948"/>
      <c r="D26" s="948"/>
      <c r="E26" s="930"/>
      <c r="F26" s="948"/>
      <c r="G26" s="930"/>
      <c r="H26" s="941"/>
      <c r="X26" s="281"/>
    </row>
    <row r="27" spans="2:24" ht="15" customHeight="1" x14ac:dyDescent="0.4">
      <c r="B27" s="948"/>
      <c r="C27" s="948"/>
      <c r="D27" s="948"/>
      <c r="E27" s="930"/>
      <c r="F27" s="948"/>
      <c r="G27" s="930"/>
      <c r="H27" s="941"/>
      <c r="X27" s="281"/>
    </row>
    <row r="28" spans="2:24" ht="15" customHeight="1" x14ac:dyDescent="0.4">
      <c r="B28" s="948"/>
      <c r="C28" s="948"/>
      <c r="D28" s="948"/>
      <c r="E28" s="930"/>
      <c r="F28" s="948"/>
      <c r="G28" s="930"/>
      <c r="H28" s="941"/>
      <c r="X28" s="285"/>
    </row>
    <row r="29" spans="2:24" ht="15" customHeight="1" x14ac:dyDescent="0.4">
      <c r="B29" s="948"/>
      <c r="C29" s="948"/>
      <c r="D29" s="948"/>
      <c r="E29" s="930"/>
      <c r="F29" s="948"/>
      <c r="G29" s="930"/>
      <c r="H29" s="941"/>
      <c r="X29" s="281"/>
    </row>
    <row r="30" spans="2:24" ht="15" customHeight="1" x14ac:dyDescent="0.4">
      <c r="B30" s="948"/>
      <c r="C30" s="948"/>
      <c r="D30" s="948"/>
      <c r="E30" s="930"/>
      <c r="F30" s="948"/>
      <c r="G30" s="930"/>
      <c r="H30" s="941"/>
      <c r="X30" s="281"/>
    </row>
    <row r="31" spans="2:24" ht="15" customHeight="1" x14ac:dyDescent="0.4">
      <c r="B31" s="948"/>
      <c r="C31" s="948"/>
      <c r="D31" s="948"/>
      <c r="E31" s="930"/>
      <c r="F31" s="948"/>
      <c r="G31" s="930"/>
      <c r="H31" s="941"/>
      <c r="X31" s="281"/>
    </row>
    <row r="32" spans="2:24" ht="15" customHeight="1" x14ac:dyDescent="0.4">
      <c r="B32" s="949"/>
      <c r="C32" s="949"/>
      <c r="D32" s="949"/>
      <c r="E32" s="931"/>
      <c r="F32" s="949"/>
      <c r="G32" s="931"/>
      <c r="H32" s="942"/>
      <c r="X32" s="281"/>
    </row>
    <row r="33" spans="2:24" ht="15" customHeight="1" x14ac:dyDescent="0.4">
      <c r="X33" s="284"/>
    </row>
    <row r="34" spans="2:24" ht="15" customHeight="1" x14ac:dyDescent="0.4">
      <c r="B34" s="278" t="s">
        <v>27</v>
      </c>
      <c r="X34" s="281"/>
    </row>
    <row r="35" spans="2:24" ht="15" customHeight="1" x14ac:dyDescent="0.4">
      <c r="X35" s="281"/>
    </row>
    <row r="36" spans="2:24" ht="15" customHeight="1" x14ac:dyDescent="0.4">
      <c r="C36" s="286" t="str">
        <f>IF(テーブル!B14="","令和４年　　月　　日",テーブル!B14)</f>
        <v>提出日</v>
      </c>
      <c r="D36" s="286"/>
      <c r="E36" s="944" t="str">
        <f>IF(表紙!N5="令和　年　月　　日","",表紙!N5)</f>
        <v/>
      </c>
      <c r="F36" s="664"/>
      <c r="X36" s="281"/>
    </row>
    <row r="37" spans="2:24" ht="15" customHeight="1" x14ac:dyDescent="0.4">
      <c r="X37" s="281"/>
    </row>
    <row r="38" spans="2:24" ht="15" customHeight="1" x14ac:dyDescent="0.4">
      <c r="C38" s="287" t="s">
        <v>109</v>
      </c>
      <c r="E38" s="933" t="str">
        <f>表紙!L9</f>
        <v/>
      </c>
      <c r="F38" s="650"/>
      <c r="G38" s="650"/>
      <c r="H38" s="650"/>
      <c r="X38" s="281"/>
    </row>
    <row r="39" spans="2:24" ht="15" customHeight="1" x14ac:dyDescent="0.4">
      <c r="X39" s="288"/>
    </row>
    <row r="40" spans="2:24" ht="15" customHeight="1" x14ac:dyDescent="0.4">
      <c r="C40" s="287" t="s">
        <v>110</v>
      </c>
      <c r="E40" s="278" t="str">
        <f>はじめに入力してください!H7&amp;"　"&amp;はじめに入力してください!H8</f>
        <v>　</v>
      </c>
    </row>
    <row r="41" spans="2:24" ht="15" customHeight="1" x14ac:dyDescent="0.4">
      <c r="X41" s="281"/>
    </row>
    <row r="42" spans="2:24" ht="15" customHeight="1" x14ac:dyDescent="0.4">
      <c r="X42" s="281"/>
    </row>
    <row r="43" spans="2:24" ht="15" customHeight="1" x14ac:dyDescent="0.4">
      <c r="B43" s="278" t="s">
        <v>32</v>
      </c>
      <c r="X43" s="281"/>
    </row>
    <row r="44" spans="2:24" ht="15" customHeight="1" x14ac:dyDescent="0.4"/>
  </sheetData>
  <sheetProtection algorithmName="SHA-512" hashValue="gNMelX2K6Bkt6ogDEhjFJlvkKCsINr0sTPbVIndHmwrbcWI0DuL9UptO0OaZrTxeqbEvYdi5lLjf+k5qoi78kQ==" saltValue="JG7pXZAmFgmG753lwbhO2g==" spinCount="100000" sheet="1" objects="1" scenarios="1"/>
  <mergeCells count="54">
    <mergeCell ref="B2:H2"/>
    <mergeCell ref="B4:B5"/>
    <mergeCell ref="C4:C5"/>
    <mergeCell ref="D4:D5"/>
    <mergeCell ref="E4:E5"/>
    <mergeCell ref="F4:G4"/>
    <mergeCell ref="H4:H5"/>
    <mergeCell ref="H6:H17"/>
    <mergeCell ref="B6:B17"/>
    <mergeCell ref="C6:C17"/>
    <mergeCell ref="B19:B20"/>
    <mergeCell ref="C19:C20"/>
    <mergeCell ref="D19:D20"/>
    <mergeCell ref="D6:D17"/>
    <mergeCell ref="F6:F17"/>
    <mergeCell ref="G6:G17"/>
    <mergeCell ref="E6:E17"/>
    <mergeCell ref="B21:B32"/>
    <mergeCell ref="C21:C32"/>
    <mergeCell ref="D21:D32"/>
    <mergeCell ref="F21:F32"/>
    <mergeCell ref="E21:E32"/>
    <mergeCell ref="X4:X5"/>
    <mergeCell ref="AC6:AC7"/>
    <mergeCell ref="AD6:AD7"/>
    <mergeCell ref="AC8:AC9"/>
    <mergeCell ref="AD8:AD9"/>
    <mergeCell ref="AC4:AD4"/>
    <mergeCell ref="AA4:AA5"/>
    <mergeCell ref="Z4:Z5"/>
    <mergeCell ref="Y4:Y5"/>
    <mergeCell ref="AB4:AB5"/>
    <mergeCell ref="Z6:Z7"/>
    <mergeCell ref="AA6:AA7"/>
    <mergeCell ref="AB6:AB7"/>
    <mergeCell ref="Y8:Y9"/>
    <mergeCell ref="Z8:Z9"/>
    <mergeCell ref="AA8:AA9"/>
    <mergeCell ref="G21:G32"/>
    <mergeCell ref="G1:I1"/>
    <mergeCell ref="E38:H38"/>
    <mergeCell ref="Y11:Y13"/>
    <mergeCell ref="AF6:AF9"/>
    <mergeCell ref="X11:X13"/>
    <mergeCell ref="Z11:AD13"/>
    <mergeCell ref="AB8:AB9"/>
    <mergeCell ref="H21:H32"/>
    <mergeCell ref="X6:X7"/>
    <mergeCell ref="X8:X9"/>
    <mergeCell ref="Y6:Y7"/>
    <mergeCell ref="H19:H20"/>
    <mergeCell ref="E36:F36"/>
    <mergeCell ref="E19:E20"/>
    <mergeCell ref="F19:G19"/>
  </mergeCells>
  <phoneticPr fontId="1"/>
  <conditionalFormatting sqref="Y6:AD9">
    <cfRule type="containsText" dxfId="2" priority="3" operator="containsText" text="×">
      <formula>NOT(ISERROR(SEARCH("×",Y6)))</formula>
    </cfRule>
  </conditionalFormatting>
  <conditionalFormatting sqref="Y11:Y13">
    <cfRule type="containsText" dxfId="1" priority="2" operator="containsText" text="×">
      <formula>NOT(ISERROR(SEARCH("×",Y11)))</formula>
    </cfRule>
  </conditionalFormatting>
  <conditionalFormatting sqref="Z11:AD13">
    <cfRule type="containsText" dxfId="0" priority="1" operator="containsText" text="要修正">
      <formula>NOT(ISERROR(SEARCH("要修正",Z11)))</formula>
    </cfRule>
  </conditionalFormatting>
  <printOptions horizontalCentered="1"/>
  <pageMargins left="0.78740157480314965" right="0.78740157480314965" top="0.98425196850393704" bottom="0.98425196850393704" header="0.51181102362204722" footer="0.51181102362204722"/>
  <pageSetup paperSize="9" scale="78" orientation="portrait" r:id="rId1"/>
  <headerFooter alignWithMargins="0"/>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7D021-2781-427C-9CAF-D5391021381B}">
  <sheetPr>
    <tabColor rgb="FFFF0000"/>
  </sheetPr>
  <dimension ref="A1:E11"/>
  <sheetViews>
    <sheetView showGridLines="0" view="pageBreakPreview" zoomScale="60" zoomScaleNormal="100" workbookViewId="0">
      <selection activeCell="E8" sqref="E8"/>
    </sheetView>
  </sheetViews>
  <sheetFormatPr defaultColWidth="9" defaultRowHeight="16.5" x14ac:dyDescent="0.35"/>
  <cols>
    <col min="1" max="1" width="9" style="289"/>
    <col min="2" max="3" width="50.625" style="290" customWidth="1"/>
    <col min="4" max="5" width="50.625" style="289" customWidth="1"/>
    <col min="6" max="16384" width="9" style="289"/>
  </cols>
  <sheetData>
    <row r="1" spans="1:5" x14ac:dyDescent="0.35">
      <c r="E1" s="291" t="str">
        <f>IF(OR(はじめに入力してください!H6="",はじめに入力してください!H10=""),"",はじめに入力してください!H6&amp;"（"&amp;はじめに入力してください!H10&amp;"）")</f>
        <v/>
      </c>
    </row>
    <row r="2" spans="1:5" ht="25.5" x14ac:dyDescent="0.35">
      <c r="A2" s="951" t="str">
        <f>"令和５年度新型コロナウイルス感染症外来対応医療機関確保事業費補助金（"&amp;テーブル!B3&amp;"）に係る審査意見書"</f>
        <v>令和５年度新型コロナウイルス感染症外来対応医療機関確保事業費補助金（事前協議）に係る審査意見書</v>
      </c>
      <c r="B2" s="951"/>
      <c r="C2" s="951"/>
      <c r="D2" s="951"/>
      <c r="E2" s="951"/>
    </row>
    <row r="4" spans="1:5" ht="120" customHeight="1" x14ac:dyDescent="0.35">
      <c r="A4" s="952" t="str">
        <f>"【御担当者様へ】
○標記補助金に係る（"&amp;テーブル!B3&amp;"）をご提出いただきありがとうございました。
○本補助金は全額、公金である国庫を原資としており、これを用いての設備整備は低廉かつ必要最小限であること及び、本県として当該原資により補助金を交付するにあたっては左記の妥当性について確認した上で、国に対し説明する責任を負います。
○上記に伴う形で補助金を活用して整備を行う医療機関（補助事業者）におかれても、実施しようとする整備の内容及び妥当性について説明する義務がありますことを御確認いただいた上で、以下の確認事項についてご回答をいただきますようお願いします。"</f>
        <v>【御担当者様へ】
○標記補助金に係る（事前協議）をご提出いただきありがとうございました。
○本補助金は全額、公金である国庫を原資としており、これを用いての設備整備は低廉かつ必要最小限であること及び、本県として当該原資により補助金を交付するにあたっては左記の妥当性について確認した上で、国に対し説明する責任を負います。
○上記に伴う形で補助金を活用して整備を行う医療機関（補助事業者）におかれても、実施しようとする整備の内容及び妥当性について説明する義務がありますことを御確認いただいた上で、以下の確認事項についてご回答をいただきますようお願いします。</v>
      </c>
      <c r="B4" s="952"/>
      <c r="C4" s="952"/>
      <c r="D4" s="952"/>
      <c r="E4" s="952"/>
    </row>
    <row r="6" spans="1:5" s="292" customFormat="1" ht="19.5" x14ac:dyDescent="0.4">
      <c r="A6" s="294" t="s">
        <v>374</v>
      </c>
      <c r="B6" s="295" t="s">
        <v>375</v>
      </c>
      <c r="C6" s="295" t="s">
        <v>212</v>
      </c>
      <c r="D6" s="294" t="s">
        <v>376</v>
      </c>
      <c r="E6" s="294" t="s">
        <v>377</v>
      </c>
    </row>
    <row r="7" spans="1:5" s="293" customFormat="1" ht="19.5" x14ac:dyDescent="0.4">
      <c r="A7" s="296">
        <v>1</v>
      </c>
      <c r="B7" s="307"/>
      <c r="C7" s="307"/>
      <c r="D7" s="307"/>
      <c r="E7" s="307"/>
    </row>
    <row r="8" spans="1:5" ht="19.5" x14ac:dyDescent="0.35">
      <c r="A8" s="295">
        <v>2</v>
      </c>
      <c r="B8" s="307"/>
      <c r="C8" s="307"/>
      <c r="D8" s="307"/>
      <c r="E8" s="309"/>
    </row>
    <row r="9" spans="1:5" ht="19.5" x14ac:dyDescent="0.4">
      <c r="A9" s="295">
        <v>3</v>
      </c>
      <c r="B9" s="307"/>
      <c r="C9" s="307"/>
      <c r="D9" s="307"/>
      <c r="E9" s="308"/>
    </row>
    <row r="10" spans="1:5" ht="19.5" x14ac:dyDescent="0.4">
      <c r="A10" s="295">
        <v>4</v>
      </c>
      <c r="B10" s="307"/>
      <c r="C10" s="307"/>
      <c r="D10" s="307"/>
      <c r="E10" s="308"/>
    </row>
    <row r="11" spans="1:5" ht="19.5" x14ac:dyDescent="0.4">
      <c r="A11" s="295">
        <v>5</v>
      </c>
      <c r="B11" s="307"/>
      <c r="C11" s="307"/>
      <c r="D11" s="307"/>
      <c r="E11" s="308"/>
    </row>
  </sheetData>
  <sheetProtection algorithmName="SHA-512" hashValue="1eSdax29Bd+Dd/RDAV0fpIzwZ3TW/EbbBk5zpqqOBgYhyXPqRMsZwKUzAxjsVH64irq4M/XtUdkW1RFjsa+v+g==" saltValue="MC1+yoPVNMy36kWeyHSdVA==" spinCount="100000" sheet="1" objects="1" scenarios="1"/>
  <mergeCells count="2">
    <mergeCell ref="A2:E2"/>
    <mergeCell ref="A4:E4"/>
  </mergeCells>
  <phoneticPr fontId="1"/>
  <pageMargins left="0.7" right="0.7" top="0.75" bottom="0.75" header="0.3" footer="0.3"/>
  <pageSetup paperSize="9" scale="38" orientation="portrait" copies="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39997558519241921"/>
    <pageSetUpPr fitToPage="1"/>
  </sheetPr>
  <dimension ref="B1:AN79"/>
  <sheetViews>
    <sheetView showGridLines="0" tabSelected="1" view="pageBreakPreview" zoomScale="60" zoomScaleNormal="100" workbookViewId="0">
      <selection activeCell="H6" sqref="H6:N6"/>
    </sheetView>
  </sheetViews>
  <sheetFormatPr defaultColWidth="9" defaultRowHeight="16.5" x14ac:dyDescent="0.4"/>
  <cols>
    <col min="1" max="2" width="3.625" style="27" customWidth="1"/>
    <col min="3" max="7" width="6.125" style="27" customWidth="1"/>
    <col min="8" max="14" width="6.125" style="224" customWidth="1"/>
    <col min="15" max="15" width="10.625" style="42" customWidth="1"/>
    <col min="16" max="16" width="6.125" style="28" customWidth="1"/>
    <col min="17" max="28" width="6.125" style="27" customWidth="1"/>
    <col min="29" max="30" width="3.625" style="27" customWidth="1"/>
    <col min="31" max="32" width="30.625" style="28" customWidth="1"/>
    <col min="33" max="33" width="10.25" style="42" customWidth="1"/>
    <col min="34" max="34" width="10.25" style="27" bestFit="1" customWidth="1"/>
    <col min="35" max="36" width="10.25" style="27" customWidth="1"/>
    <col min="37" max="37" width="9.125" style="27" bestFit="1" customWidth="1"/>
    <col min="38" max="38" width="15.125" style="27" bestFit="1" customWidth="1"/>
    <col min="39" max="39" width="9" style="27"/>
    <col min="40" max="40" width="9.125" style="27" bestFit="1" customWidth="1"/>
    <col min="41" max="16384" width="9" style="27"/>
  </cols>
  <sheetData>
    <row r="1" spans="2:40" ht="99.95" customHeight="1" x14ac:dyDescent="0.4">
      <c r="B1" s="26"/>
      <c r="C1" s="412" t="s">
        <v>147</v>
      </c>
      <c r="D1" s="413"/>
      <c r="E1" s="413"/>
      <c r="F1" s="413"/>
      <c r="G1" s="413"/>
      <c r="H1" s="414"/>
      <c r="I1" s="414"/>
      <c r="J1" s="414"/>
      <c r="K1" s="414"/>
      <c r="L1" s="414"/>
      <c r="M1" s="414"/>
      <c r="N1" s="414"/>
      <c r="O1" s="414"/>
      <c r="P1" s="414"/>
      <c r="Q1" s="414"/>
      <c r="R1" s="414"/>
      <c r="S1" s="414"/>
      <c r="T1" s="414"/>
      <c r="U1" s="414"/>
      <c r="V1" s="414"/>
      <c r="W1" s="414"/>
      <c r="X1" s="414"/>
      <c r="Y1" s="414"/>
      <c r="Z1" s="414"/>
      <c r="AA1" s="414"/>
      <c r="AB1" s="414"/>
      <c r="AC1" s="26"/>
      <c r="AD1" s="26"/>
      <c r="AF1" s="38"/>
    </row>
    <row r="2" spans="2:40" ht="20.100000000000001" customHeight="1" thickBot="1" x14ac:dyDescent="0.45">
      <c r="B2" s="431" t="s">
        <v>81</v>
      </c>
      <c r="C2" s="449"/>
      <c r="D2" s="449"/>
      <c r="E2" s="449"/>
      <c r="F2" s="449"/>
      <c r="G2" s="450"/>
      <c r="H2" s="431" t="s">
        <v>82</v>
      </c>
      <c r="I2" s="432"/>
      <c r="J2" s="432"/>
      <c r="K2" s="432"/>
      <c r="L2" s="432"/>
      <c r="M2" s="432"/>
      <c r="N2" s="433"/>
      <c r="O2" s="211" t="s">
        <v>80</v>
      </c>
      <c r="P2" s="475" t="s">
        <v>74</v>
      </c>
      <c r="Q2" s="476"/>
      <c r="R2" s="476"/>
      <c r="S2" s="476"/>
      <c r="T2" s="476"/>
      <c r="U2" s="476"/>
      <c r="V2" s="476"/>
      <c r="W2" s="476"/>
      <c r="X2" s="476"/>
      <c r="Y2" s="476"/>
      <c r="Z2" s="476"/>
      <c r="AA2" s="476"/>
      <c r="AB2" s="477"/>
      <c r="AC2" s="26"/>
      <c r="AD2" s="26"/>
      <c r="AE2" s="46" t="s">
        <v>152</v>
      </c>
      <c r="AF2" s="91" t="s">
        <v>149</v>
      </c>
    </row>
    <row r="3" spans="2:40" ht="24.95" customHeight="1" thickTop="1" x14ac:dyDescent="0.4">
      <c r="B3" s="468" t="s">
        <v>115</v>
      </c>
      <c r="C3" s="434" t="s">
        <v>77</v>
      </c>
      <c r="D3" s="435"/>
      <c r="E3" s="435"/>
      <c r="F3" s="435"/>
      <c r="G3" s="436"/>
      <c r="H3" s="365" t="s">
        <v>78</v>
      </c>
      <c r="I3" s="366"/>
      <c r="J3" s="366"/>
      <c r="K3" s="366"/>
      <c r="L3" s="366"/>
      <c r="M3" s="366"/>
      <c r="N3" s="367"/>
      <c r="O3" s="484" t="str">
        <f xml:space="preserve">
IF(AND(AM3="×",AM4="×",AM5="×"),"×",
IF(AND(AM3="×",AM4="×",AM5="○"),"○"&amp;CHAR(10)&amp;"（公立）",
IF(AND(AM3="×",AM4="○",AM5="×"),"○"&amp;CHAR(10)&amp;"（個人）",
IF(AND(AM3="×",AM4="○",AM5="○"),"×",
IF(AND(AM3="○",AM4="×",AM5="×"),"○"&amp;CHAR(10)&amp;"（法人）",
IF(AND(AM3="○",AM4="×",AM5="○"),"×",
IF(AND(AM3="○",AM4="○",AM5="×"),"×",
IF(AND(AM3="○",AM4="○",AM5="○"),"×",
))))))))</f>
        <v>×</v>
      </c>
      <c r="P3" s="417" t="str">
        <f xml:space="preserve">
IF(AND(AM3="×",AM4="×",AM5="×"),"【要修正】いずれかのボックスにチェックしてください。",
IF(AND(AM3="×",AM4="×",AM5="○"),"適切に入力がされました。",
IF(AND(AM3="×",AM4="○",AM5="×"),"適切に入力がされました。",
IF(AND(AM3="×",AM4="○",AM5="○"),"【要修正】複数のボックスにチェックされています。（いずれか１つのみチェックしてください。）",
IF(AND(AM3="○",AM4="×",AM5="×"),"適切に入力がされました。",
IF(AND(AM3="○",AM4="×",AM5="○"),"【要修正】複数のボックスにチェックされています。（いずれか１つのみチェックしてください。）",
IF(AND(AM3="○",AM4="○",AM5="×"),"【要修正】複数のボックスにチェックされています。（いずれか１つのみチェックしてください。）",
IF(AND(AM3="○",AM4="○",AM5="○"),"【要修正】全てのボックスにチェックされています。（いずれか１つのみチェックしてください。）",
))))))))</f>
        <v>【要修正】いずれかのボックスにチェックしてください。</v>
      </c>
      <c r="Q3" s="418"/>
      <c r="R3" s="418"/>
      <c r="S3" s="418"/>
      <c r="T3" s="418"/>
      <c r="U3" s="418"/>
      <c r="V3" s="418"/>
      <c r="W3" s="418"/>
      <c r="X3" s="419"/>
      <c r="Y3" s="419"/>
      <c r="Z3" s="419"/>
      <c r="AA3" s="419"/>
      <c r="AB3" s="420"/>
      <c r="AC3" s="26"/>
      <c r="AD3" s="26"/>
      <c r="AE3" s="354" t="str">
        <f>IF(OR(O3="○"&amp;CHAR(10)&amp;"（法人）",O3="○"&amp;CHAR(10)&amp;"（公立）",O3="○"&amp;CHAR(10)&amp;"（個人）"),"",C3&amp;"/")</f>
        <v>法人・個人事業主の別/</v>
      </c>
      <c r="AF3" s="332" t="s">
        <v>150</v>
      </c>
      <c r="AM3" s="89" t="str">
        <f>IF(AN3=TRUE,"○","×")</f>
        <v>×</v>
      </c>
      <c r="AN3" s="90" t="b">
        <v>0</v>
      </c>
    </row>
    <row r="4" spans="2:40" ht="24.95" customHeight="1" x14ac:dyDescent="0.4">
      <c r="B4" s="469"/>
      <c r="C4" s="437"/>
      <c r="D4" s="438"/>
      <c r="E4" s="438"/>
      <c r="F4" s="438"/>
      <c r="G4" s="439"/>
      <c r="H4" s="481" t="s">
        <v>79</v>
      </c>
      <c r="I4" s="482"/>
      <c r="J4" s="482"/>
      <c r="K4" s="482"/>
      <c r="L4" s="482"/>
      <c r="M4" s="482"/>
      <c r="N4" s="483"/>
      <c r="O4" s="485"/>
      <c r="P4" s="421"/>
      <c r="Q4" s="422"/>
      <c r="R4" s="422"/>
      <c r="S4" s="422"/>
      <c r="T4" s="422"/>
      <c r="U4" s="422"/>
      <c r="V4" s="422"/>
      <c r="W4" s="422"/>
      <c r="X4" s="423"/>
      <c r="Y4" s="423"/>
      <c r="Z4" s="423"/>
      <c r="AA4" s="423"/>
      <c r="AB4" s="424"/>
      <c r="AC4" s="26"/>
      <c r="AD4" s="26"/>
      <c r="AE4" s="355"/>
      <c r="AF4" s="333"/>
      <c r="AM4" s="89" t="str">
        <f>IF(AN4=TRUE,"○","×")</f>
        <v>×</v>
      </c>
      <c r="AN4" s="90" t="b">
        <v>0</v>
      </c>
    </row>
    <row r="5" spans="2:40" ht="24.95" customHeight="1" x14ac:dyDescent="0.4">
      <c r="B5" s="469"/>
      <c r="C5" s="440"/>
      <c r="D5" s="441"/>
      <c r="E5" s="441"/>
      <c r="F5" s="441"/>
      <c r="G5" s="442"/>
      <c r="H5" s="478" t="s">
        <v>94</v>
      </c>
      <c r="I5" s="479"/>
      <c r="J5" s="479"/>
      <c r="K5" s="479"/>
      <c r="L5" s="479"/>
      <c r="M5" s="479"/>
      <c r="N5" s="480"/>
      <c r="O5" s="485"/>
      <c r="P5" s="425"/>
      <c r="Q5" s="422"/>
      <c r="R5" s="422"/>
      <c r="S5" s="422"/>
      <c r="T5" s="422"/>
      <c r="U5" s="422"/>
      <c r="V5" s="422"/>
      <c r="W5" s="422"/>
      <c r="X5" s="423"/>
      <c r="Y5" s="423"/>
      <c r="Z5" s="423"/>
      <c r="AA5" s="423"/>
      <c r="AB5" s="424"/>
      <c r="AC5" s="26"/>
      <c r="AD5" s="26"/>
      <c r="AE5" s="356"/>
      <c r="AF5" s="334"/>
      <c r="AM5" s="89" t="str">
        <f>IF(AN5=TRUE,"○","×")</f>
        <v>×</v>
      </c>
      <c r="AN5" s="90" t="b">
        <v>0</v>
      </c>
    </row>
    <row r="6" spans="2:40" ht="24.95" customHeight="1" x14ac:dyDescent="0.4">
      <c r="B6" s="469"/>
      <c r="C6" s="362" t="s">
        <v>6</v>
      </c>
      <c r="D6" s="363"/>
      <c r="E6" s="363"/>
      <c r="F6" s="363"/>
      <c r="G6" s="364"/>
      <c r="H6" s="339"/>
      <c r="I6" s="360"/>
      <c r="J6" s="360"/>
      <c r="K6" s="360"/>
      <c r="L6" s="360"/>
      <c r="M6" s="360"/>
      <c r="N6" s="361"/>
      <c r="O6" s="29" t="str">
        <f>IF(COUNTA(H6)=0,"×","○")</f>
        <v>×</v>
      </c>
      <c r="P6" s="322" t="str">
        <f>IF(O6="×","【要修正】法人の場合は法人名、個人事業主の場合は屋号を入力してください。","適切に入力がされました。")</f>
        <v>【要修正】法人の場合は法人名、個人事業主の場合は屋号を入力してください。</v>
      </c>
      <c r="Q6" s="426"/>
      <c r="R6" s="426"/>
      <c r="S6" s="426"/>
      <c r="T6" s="426"/>
      <c r="U6" s="426"/>
      <c r="V6" s="426"/>
      <c r="W6" s="426"/>
      <c r="X6" s="423"/>
      <c r="Y6" s="423"/>
      <c r="Z6" s="423"/>
      <c r="AA6" s="423"/>
      <c r="AB6" s="424"/>
      <c r="AC6" s="26"/>
      <c r="AD6" s="26"/>
      <c r="AE6" s="215" t="str">
        <f>IF(O6="○","",C6&amp;"/")</f>
        <v>事業者名/</v>
      </c>
      <c r="AF6" s="215" t="str">
        <f>ASC(H6)</f>
        <v/>
      </c>
    </row>
    <row r="7" spans="2:40" ht="24.95" customHeight="1" x14ac:dyDescent="0.4">
      <c r="B7" s="469"/>
      <c r="C7" s="362" t="s">
        <v>7</v>
      </c>
      <c r="D7" s="363"/>
      <c r="E7" s="363"/>
      <c r="F7" s="363"/>
      <c r="G7" s="364"/>
      <c r="H7" s="339"/>
      <c r="I7" s="360"/>
      <c r="J7" s="360"/>
      <c r="K7" s="360"/>
      <c r="L7" s="360"/>
      <c r="M7" s="360"/>
      <c r="N7" s="361"/>
      <c r="O7" s="29" t="str">
        <f>IF(COUNTA(H7)=0,"×","○")</f>
        <v>×</v>
      </c>
      <c r="P7" s="322" t="str">
        <f>IF(O7="×","【要修正】代表者の職名（「理事長」等）を入力してください。","適切に入力がされました。")</f>
        <v>【要修正】代表者の職名（「理事長」等）を入力してください。</v>
      </c>
      <c r="Q7" s="426"/>
      <c r="R7" s="426"/>
      <c r="S7" s="426"/>
      <c r="T7" s="426"/>
      <c r="U7" s="426"/>
      <c r="V7" s="426"/>
      <c r="W7" s="426"/>
      <c r="X7" s="423"/>
      <c r="Y7" s="423"/>
      <c r="Z7" s="423"/>
      <c r="AA7" s="423"/>
      <c r="AB7" s="424"/>
      <c r="AC7" s="26"/>
      <c r="AD7" s="26"/>
      <c r="AE7" s="215" t="str">
        <f>IF(O7="○","",C7&amp;"/")</f>
        <v>代表者役職/</v>
      </c>
      <c r="AF7" s="215" t="str">
        <f t="shared" ref="AF7:AF11" si="0">ASC(H7)</f>
        <v/>
      </c>
    </row>
    <row r="8" spans="2:40" ht="24.95" customHeight="1" x14ac:dyDescent="0.4">
      <c r="B8" s="469"/>
      <c r="C8" s="362" t="s">
        <v>4</v>
      </c>
      <c r="D8" s="363"/>
      <c r="E8" s="363"/>
      <c r="F8" s="363"/>
      <c r="G8" s="364"/>
      <c r="H8" s="339"/>
      <c r="I8" s="360"/>
      <c r="J8" s="360"/>
      <c r="K8" s="360"/>
      <c r="L8" s="360"/>
      <c r="M8" s="360"/>
      <c r="N8" s="361"/>
      <c r="O8" s="29" t="str">
        <f>IF(COUNTA(H8)=0,"×","○")</f>
        <v>×</v>
      </c>
      <c r="P8" s="322" t="str">
        <f>IF(O8="×","【要修正】代表者の氏名（例：「愛知　太郎」）を入力してください。","適切に入力がされました。")</f>
        <v>【要修正】代表者の氏名（例：「愛知　太郎」）を入力してください。</v>
      </c>
      <c r="Q8" s="426"/>
      <c r="R8" s="426"/>
      <c r="S8" s="426"/>
      <c r="T8" s="426"/>
      <c r="U8" s="426"/>
      <c r="V8" s="426"/>
      <c r="W8" s="426"/>
      <c r="X8" s="423"/>
      <c r="Y8" s="423"/>
      <c r="Z8" s="423"/>
      <c r="AA8" s="423"/>
      <c r="AB8" s="424"/>
      <c r="AC8" s="26"/>
      <c r="AD8" s="26"/>
      <c r="AE8" s="215" t="str">
        <f>IF(O8="○","",C8&amp;"/")</f>
        <v>代表者氏名/</v>
      </c>
      <c r="AF8" s="215" t="str">
        <f t="shared" si="0"/>
        <v/>
      </c>
    </row>
    <row r="9" spans="2:40" ht="24.95" customHeight="1" x14ac:dyDescent="0.4">
      <c r="B9" s="469"/>
      <c r="C9" s="362" t="s">
        <v>15</v>
      </c>
      <c r="D9" s="363"/>
      <c r="E9" s="363"/>
      <c r="F9" s="363"/>
      <c r="G9" s="364"/>
      <c r="H9" s="339"/>
      <c r="I9" s="360"/>
      <c r="J9" s="360"/>
      <c r="K9" s="360"/>
      <c r="L9" s="360"/>
      <c r="M9" s="360"/>
      <c r="N9" s="361"/>
      <c r="O9" s="29" t="str">
        <f>IF(COUNTA(H9)=0,"×","○")</f>
        <v>×</v>
      </c>
      <c r="P9" s="322" t="str">
        <f>IF(O9="×","【要修正】法人の場合は法人所在地、個人事業主の場合は貴医療機関の所在地を入力してください","適切に入力がされました。")</f>
        <v>【要修正】法人の場合は法人所在地、個人事業主の場合は貴医療機関の所在地を入力してください</v>
      </c>
      <c r="Q9" s="426"/>
      <c r="R9" s="426"/>
      <c r="S9" s="426"/>
      <c r="T9" s="426"/>
      <c r="U9" s="426"/>
      <c r="V9" s="426"/>
      <c r="W9" s="426"/>
      <c r="X9" s="423"/>
      <c r="Y9" s="423"/>
      <c r="Z9" s="423"/>
      <c r="AA9" s="423"/>
      <c r="AB9" s="424"/>
      <c r="AC9" s="26"/>
      <c r="AD9" s="26"/>
      <c r="AE9" s="215" t="str">
        <f>IF(O9="○","",C9&amp;"/")</f>
        <v>所在地/</v>
      </c>
      <c r="AF9" s="215" t="str">
        <f t="shared" si="0"/>
        <v/>
      </c>
    </row>
    <row r="10" spans="2:40" ht="24.95" customHeight="1" x14ac:dyDescent="0.4">
      <c r="B10" s="469"/>
      <c r="C10" s="362" t="s">
        <v>33</v>
      </c>
      <c r="D10" s="363"/>
      <c r="E10" s="363"/>
      <c r="F10" s="363"/>
      <c r="G10" s="364"/>
      <c r="H10" s="339"/>
      <c r="I10" s="360"/>
      <c r="J10" s="360"/>
      <c r="K10" s="360"/>
      <c r="L10" s="360"/>
      <c r="M10" s="360"/>
      <c r="N10" s="361"/>
      <c r="O10" s="29" t="str">
        <f xml:space="preserve">
IF(O3="×","×",
IF(AND(OR(O3="○"&amp;CHAR(10)&amp;"（個人）",O3="○"&amp;CHAR(10)&amp;"（法人）"),H10=""),"×",
IF(AND(O3="○"&amp;CHAR(10)&amp;"（法人）",H6=H10),"×",
IF(AND(O3="○"&amp;CHAR(10)&amp;"（法人）",H6&lt;&gt;H10),"○",
IF(AND(O3="○"&amp;CHAR(10)&amp;"（個人）",H6=H10),"○",
IF(AND(O3="○"&amp;CHAR(10)&amp;"（個人）",H6&lt;&gt;H10),"×",
IF(AND(O3="○"&amp;CHAR(10)&amp;"（公立）",H6=H10),"×",
IF(AND(O3="○"&amp;CHAR(10)&amp;"（公立）",H6&lt;&gt;H10),"○"
))))))))</f>
        <v>×</v>
      </c>
      <c r="P10" s="421" t="str">
        <f xml:space="preserve">
IF(O3="×","【要修正】「法人・個人事業主の別」の入力に問題があります。",
IF(AND(OR(O3="○"&amp;CHAR(10)&amp;"（個人）",O3="○"&amp;CHAR(10)&amp;"（法人）",O3="○"&amp;CHAR(10)&amp;"（公立）"),H10=""),"【要修正】医療機関の施設名称を入力してください。",
IF(AND(O3="○"&amp;CHAR(10)&amp;"（法人）",H6=H10),"【要修正】法人名ではなく、施設名を入力してください。（「医療法人」等は記載不要）",
IF(AND(O3="○"&amp;CHAR(10)&amp;"（法人）",H6&lt;&gt;H10),"適切に入力がされました。",
IF(AND(O3="○"&amp;CHAR(10)&amp;"（個人）",H6=H10),"適切に入力がされました。",
IF(AND(O3="○"&amp;CHAR(10)&amp;"（個人）",H6&lt;&gt;H10),"【要修正】個人事業主の場合は「事業者名」欄と一致するように入力してください。（コピー＆貼り付け入力推奨）",
IF(AND(O3="○"&amp;CHAR(10)&amp;"（公立）",H6=H10),"【要修正】自治体名ではなく、施設名を入力してください。（自治体名の記載は不要）",
IF(AND(O3="○"&amp;CHAR(10)&amp;"（公立）",H6&lt;&gt;H10),"適切に入力がされました。"
))))))))</f>
        <v>【要修正】「法人・個人事業主の別」の入力に問題があります。</v>
      </c>
      <c r="Q10" s="422"/>
      <c r="R10" s="422"/>
      <c r="S10" s="422"/>
      <c r="T10" s="422"/>
      <c r="U10" s="422"/>
      <c r="V10" s="422"/>
      <c r="W10" s="422"/>
      <c r="X10" s="423"/>
      <c r="Y10" s="423"/>
      <c r="Z10" s="423"/>
      <c r="AA10" s="423"/>
      <c r="AB10" s="424"/>
      <c r="AC10" s="26"/>
      <c r="AD10" s="26"/>
      <c r="AE10" s="215" t="str">
        <f xml:space="preserve">
IF(O3="×","",
IF(AND(OR(O3="○"&amp;CHAR(10)&amp;"（個人）",O3="○"&amp;CHAR(10)&amp;"（法人）",O3="○"&amp;CHAR(10)&amp;"（公立）"),H10=""),C10,
IF(AND(O3="○"&amp;CHAR(10)&amp;"（法人）",H6=H10),C10,
IF(AND(O3="○"&amp;CHAR(10)&amp;"（法人）",H6&lt;&gt;H10),"",
IF(AND(O3="○"&amp;CHAR(10)&amp;"（個人）",H6=H10),"",
IF(AND(O3="○"&amp;CHAR(10)&amp;"（個人）",H6&lt;&gt;H10),C10,
IF(AND(O3="○"&amp;CHAR(10)&amp;"（公立）",H6=H10),C10,
IF(AND(O3="○"&amp;CHAR(10)&amp;"（公立）",H6&lt;&gt;H10),""
))))))))</f>
        <v/>
      </c>
      <c r="AF10" s="215" t="str">
        <f t="shared" si="0"/>
        <v/>
      </c>
    </row>
    <row r="11" spans="2:40" ht="24.95" customHeight="1" x14ac:dyDescent="0.4">
      <c r="B11" s="469"/>
      <c r="C11" s="362" t="s">
        <v>31</v>
      </c>
      <c r="D11" s="363"/>
      <c r="E11" s="363"/>
      <c r="F11" s="363"/>
      <c r="G11" s="364"/>
      <c r="H11" s="339"/>
      <c r="I11" s="360"/>
      <c r="J11" s="360"/>
      <c r="K11" s="360"/>
      <c r="L11" s="360"/>
      <c r="M11" s="360"/>
      <c r="N11" s="361"/>
      <c r="O11" s="29" t="str">
        <f>IF(COUNTA(H11)=0,"×","○")</f>
        <v>×</v>
      </c>
      <c r="P11" s="421" t="str">
        <f>IF(COUNTA(H11)=0,"【要修正】「施設の名称」欄に入力した施設の所在地を入力してください。","適切に入力がされました。")</f>
        <v>【要修正】「施設の名称」欄に入力した施設の所在地を入力してください。</v>
      </c>
      <c r="Q11" s="422"/>
      <c r="R11" s="422"/>
      <c r="S11" s="422"/>
      <c r="T11" s="422"/>
      <c r="U11" s="422"/>
      <c r="V11" s="422"/>
      <c r="W11" s="422"/>
      <c r="X11" s="422"/>
      <c r="Y11" s="422"/>
      <c r="Z11" s="422"/>
      <c r="AA11" s="422"/>
      <c r="AB11" s="486"/>
      <c r="AC11" s="30"/>
      <c r="AD11" s="30"/>
      <c r="AE11" s="215" t="str">
        <f t="shared" ref="AE11:AE30" si="1">IF(O11="○","",C11&amp;"/")</f>
        <v>施設所在地/</v>
      </c>
      <c r="AF11" s="215" t="str">
        <f t="shared" si="0"/>
        <v/>
      </c>
    </row>
    <row r="12" spans="2:40" ht="65.099999999999994" customHeight="1" x14ac:dyDescent="0.4">
      <c r="B12" s="469"/>
      <c r="C12" s="362" t="s">
        <v>9</v>
      </c>
      <c r="D12" s="363"/>
      <c r="E12" s="363"/>
      <c r="F12" s="363"/>
      <c r="G12" s="364"/>
      <c r="H12" s="31" t="s">
        <v>83</v>
      </c>
      <c r="I12" s="80"/>
      <c r="J12" s="32" t="s">
        <v>169</v>
      </c>
      <c r="K12" s="80"/>
      <c r="L12" s="32" t="s">
        <v>255</v>
      </c>
      <c r="M12" s="80"/>
      <c r="N12" s="33" t="s">
        <v>84</v>
      </c>
      <c r="O12" s="29" t="str">
        <f xml:space="preserve">
IF(AND(OR(テーブル!B3="事前協議",テーブル!B3="交付申請兼実績報告書",テーブル!B3="交付申請",テーブル!B3="交付申請（２次以降）"),COUNTA(I12,K12,M12)=3,DATE(テーブル!C14,テーブル!D14,テーブル!E14)&lt;=DATE(テーブル!C11,テーブル!D11,テーブル!E11),DATE(テーブル!C14,テーブル!D14,テーブル!E14)&gt;=DATE(テーブル!C10,テーブル!D10,テーブル!E10)),"○",
IF(AND(OR(テーブル!B3="事前協議",テーブル!B3="交付申請兼実績報告書",テーブル!B3="交付申請",テーブル!B3="交付申請（２次以降）"),OR(COUNTA(I12,K12,M12)&lt;&gt;3,OR(DATE(テーブル!C14,テーブル!D14,テーブル!E14)&gt;DATE(テーブル!C11,テーブル!D11,テーブル!E11),DATE(テーブル!C14,テーブル!D14,テーブル!E14)&lt;DATE(テーブル!C10,テーブル!D10,テーブル!E10)))),"×",
IF(AND(テーブル!B3="変更申請",COUNTA(I12,K12,M12)=3,DATE(テーブル!C14,テーブル!D14,テーブル!E14)&lt;=DATE(テーブル!C13,テーブル!D13,テーブル!E13),DATE(テーブル!C14,テーブル!D14,テーブル!E14)&gt;=DATE(テーブル!C12,テーブル!D12,テーブル!E12)),"○",
IF(AND(テーブル!B3="変更申請",OR(COUNTA(I12,K12,M12)&lt;&gt;3,DATE(テーブル!C14,テーブル!D14,テーブル!E14)&gt;DATE(テーブル!C13,テーブル!D13,テーブル!E13),DATE(テーブル!C14,テーブル!D14,テーブル!E14)&lt;DATE(テーブル!C12,テーブル!D12,テーブル!E12))),"×",
IF(AND(テーブル!B3="実績報告",COUNTA(#REF!)&lt;&gt;1,額内訳書!AT2="×"),
"×",
IF(AND(テーブル!B3="実績報告",COUNTA(#REF!)=1,額内訳書!AT2="×"),
"×",
IF(AND(テーブル!B3="実績報告",COUNTA(#REF!)&lt;&gt;1,額内訳書!AT2="○"),
"×",
IF(AND(テーブル!B3="実績報告",COUNTA(#REF!)=1,額内訳書!AT2="○",OR(DATE(テーブル!C14,テーブル!D14,テーブル!E14)&lt;MAX(DATE(テーブル!C15,テーブル!D15,テーブル!E15),DATE(テーブル!C16,テーブル!D16,テーブル!E16)),DATE(テーブル!C14,テーブル!D14,テーブル!E14)&gt;MAX(DATE(テーブル!C15,テーブル!D15,テーブル!E15+30),DATE(テーブル!C16,テーブル!D16,テーブル!E16+30)))),
"×",
IF(AND(テーブル!B3="実績報告",COUNTA(#REF!)=1,額内訳書!AT2="○",DATE(テーブル!C14,テーブル!D14,テーブル!E14)&gt;=MAX(DATE(テーブル!C15,テーブル!D15,テーブル!E15),DATE(テーブル!C16,テーブル!D16,テーブル!E16)),DATE(テーブル!C14,テーブル!D14,テーブル!E14)&lt;=MAX(DATE(テーブル!C15,テーブル!D15,テーブル!E15+30),DATE(テーブル!C16,テーブル!D16,テーブル!E16+30))),
"○"
)))))))))</f>
        <v>×</v>
      </c>
      <c r="P12" s="487" t="str">
        <f xml:space="preserve">
IF(AND(OR(テーブル!B3="事前協議",テーブル!B3="交付申請兼実績報告書",テーブル!B3="交付申請",テーブル!B3="交付申請（２次以降）"),COUNTA(I12,K12,M12)=3,DATE(テーブル!C14,テーブル!D14,テーブル!E14)&lt;=DATE(テーブル!C11,テーブル!D11,テーブル!E11),DATE(テーブル!C14,テーブル!D14,テーブル!E14)&gt;=DATE(テーブル!C10,テーブル!D10,テーブル!E10)),"適切に入力がされました。",
IF(AND(OR(テーブル!B3="事前協議",テーブル!B3="交付申請兼実績報告書",テーブル!B3="交付申請",テーブル!B3="交付申請（２次以降）"),OR(COUNTA(I12,K12,M12)&lt;&gt;3,OR(DATE(テーブル!C14,テーブル!D14,テーブル!E14)&gt;DATE(テーブル!C11,テーブル!D11,テーブル!E11),DATE(テーブル!C14,テーブル!D14,テーブル!E14)&lt;DATE(テーブル!C10,テーブル!D10,テーブル!E10)))),"【要修正】申請期間（"&amp;TEXT(DATE(2023,7,12),"yyyy年m月d日")&amp;"～"&amp;TEXT(DATE(2023,8,14),"m月d日")&amp;"）の日付を入力してください。"))</f>
        <v>【要修正】申請期間（2023年7月12日～8月14日）の日付を入力してください。</v>
      </c>
      <c r="Q12" s="488"/>
      <c r="R12" s="488"/>
      <c r="S12" s="488"/>
      <c r="T12" s="488"/>
      <c r="U12" s="488"/>
      <c r="V12" s="488"/>
      <c r="W12" s="488"/>
      <c r="X12" s="488"/>
      <c r="Y12" s="488"/>
      <c r="Z12" s="488"/>
      <c r="AA12" s="488"/>
      <c r="AB12" s="489"/>
      <c r="AC12" s="30"/>
      <c r="AD12" s="30"/>
      <c r="AE12" s="215" t="str">
        <f t="shared" si="1"/>
        <v>提出日/</v>
      </c>
      <c r="AF12" s="92" t="str">
        <f>IF(O12="×","",IF(O12="○",H12&amp;I12&amp;J12&amp;K12&amp;L12&amp;M12&amp;N12))</f>
        <v/>
      </c>
    </row>
    <row r="13" spans="2:40" ht="24.95" customHeight="1" x14ac:dyDescent="0.4">
      <c r="B13" s="469"/>
      <c r="C13" s="362" t="s">
        <v>10</v>
      </c>
      <c r="D13" s="363"/>
      <c r="E13" s="363"/>
      <c r="F13" s="363"/>
      <c r="G13" s="364"/>
      <c r="H13" s="339"/>
      <c r="I13" s="360"/>
      <c r="J13" s="360"/>
      <c r="K13" s="360"/>
      <c r="L13" s="360"/>
      <c r="M13" s="360"/>
      <c r="N13" s="361"/>
      <c r="O13" s="29" t="s">
        <v>86</v>
      </c>
      <c r="P13" s="421" t="s">
        <v>101</v>
      </c>
      <c r="Q13" s="422"/>
      <c r="R13" s="422"/>
      <c r="S13" s="422"/>
      <c r="T13" s="422"/>
      <c r="U13" s="422"/>
      <c r="V13" s="422"/>
      <c r="W13" s="422"/>
      <c r="X13" s="422"/>
      <c r="Y13" s="422"/>
      <c r="Z13" s="422"/>
      <c r="AA13" s="422"/>
      <c r="AB13" s="486"/>
      <c r="AC13" s="30"/>
      <c r="AD13" s="30"/>
      <c r="AE13" s="215" t="str">
        <f t="shared" si="1"/>
        <v/>
      </c>
      <c r="AF13" s="46" t="s">
        <v>150</v>
      </c>
      <c r="AG13" s="127"/>
      <c r="AH13" s="127"/>
      <c r="AI13" s="127"/>
      <c r="AJ13" s="127"/>
      <c r="AK13" s="57"/>
    </row>
    <row r="14" spans="2:40" ht="24.95" customHeight="1" x14ac:dyDescent="0.4">
      <c r="B14" s="469"/>
      <c r="C14" s="362" t="s">
        <v>11</v>
      </c>
      <c r="D14" s="363"/>
      <c r="E14" s="363"/>
      <c r="F14" s="363"/>
      <c r="G14" s="364"/>
      <c r="H14" s="339"/>
      <c r="I14" s="360"/>
      <c r="J14" s="360"/>
      <c r="K14" s="360"/>
      <c r="L14" s="360"/>
      <c r="M14" s="360"/>
      <c r="N14" s="361"/>
      <c r="O14" s="29" t="str">
        <f>IF(COUNTA(H14)=0,"×","○")</f>
        <v>×</v>
      </c>
      <c r="P14" s="322" t="str">
        <f>IF(COUNTA(H14)=0,"【要修正】ご担当される方の所属あるいは職名（医師、事務等）を入力してください。","適切に入力がされました。")</f>
        <v>【要修正】ご担当される方の所属あるいは職名（医師、事務等）を入力してください。</v>
      </c>
      <c r="Q14" s="426"/>
      <c r="R14" s="426"/>
      <c r="S14" s="426"/>
      <c r="T14" s="426"/>
      <c r="U14" s="426"/>
      <c r="V14" s="426"/>
      <c r="W14" s="426"/>
      <c r="X14" s="423"/>
      <c r="Y14" s="423"/>
      <c r="Z14" s="423"/>
      <c r="AA14" s="423"/>
      <c r="AB14" s="424"/>
      <c r="AC14" s="26"/>
      <c r="AD14" s="26"/>
      <c r="AE14" s="215" t="str">
        <f t="shared" si="1"/>
        <v>担当部署/</v>
      </c>
      <c r="AF14" s="92" t="str">
        <f>ASC(H14)</f>
        <v/>
      </c>
      <c r="AI14" s="57"/>
      <c r="AJ14" s="143"/>
      <c r="AK14" s="57"/>
    </row>
    <row r="15" spans="2:40" ht="24.95" customHeight="1" x14ac:dyDescent="0.4">
      <c r="B15" s="469"/>
      <c r="C15" s="362" t="s">
        <v>12</v>
      </c>
      <c r="D15" s="363"/>
      <c r="E15" s="363"/>
      <c r="F15" s="363"/>
      <c r="G15" s="364"/>
      <c r="H15" s="339"/>
      <c r="I15" s="360"/>
      <c r="J15" s="360"/>
      <c r="K15" s="360"/>
      <c r="L15" s="360"/>
      <c r="M15" s="360"/>
      <c r="N15" s="361"/>
      <c r="O15" s="29" t="str">
        <f>IF(COUNTA(H15)=0,"×","○")</f>
        <v>×</v>
      </c>
      <c r="P15" s="322" t="str">
        <f>IF(COUNTA(H15)=0,"【要修正】この申請をご担当される方の氏名（フルネーム）を入力してください。（例：愛知　太郎）","適切に入力がされました。")</f>
        <v>【要修正】この申請をご担当される方の氏名（フルネーム）を入力してください。（例：愛知　太郎）</v>
      </c>
      <c r="Q15" s="426"/>
      <c r="R15" s="426"/>
      <c r="S15" s="426"/>
      <c r="T15" s="426"/>
      <c r="U15" s="426"/>
      <c r="V15" s="426"/>
      <c r="W15" s="426"/>
      <c r="X15" s="423"/>
      <c r="Y15" s="423"/>
      <c r="Z15" s="423"/>
      <c r="AA15" s="423"/>
      <c r="AB15" s="424"/>
      <c r="AC15" s="26"/>
      <c r="AD15" s="26"/>
      <c r="AE15" s="215" t="str">
        <f t="shared" si="1"/>
        <v>担当者名/</v>
      </c>
      <c r="AF15" s="92" t="str">
        <f>ASC(H15)</f>
        <v/>
      </c>
    </row>
    <row r="16" spans="2:40" ht="24.95" customHeight="1" x14ac:dyDescent="0.4">
      <c r="B16" s="469"/>
      <c r="C16" s="362" t="s">
        <v>75</v>
      </c>
      <c r="D16" s="363"/>
      <c r="E16" s="363"/>
      <c r="F16" s="363"/>
      <c r="G16" s="364"/>
      <c r="H16" s="350"/>
      <c r="I16" s="351"/>
      <c r="J16" s="352"/>
      <c r="K16" s="351"/>
      <c r="L16" s="352"/>
      <c r="M16" s="353"/>
      <c r="N16" s="159"/>
      <c r="O16" s="29" t="str">
        <f>IF(COUNTA(H16,J16,L16)=3,"○","×")</f>
        <v>×</v>
      </c>
      <c r="P16" s="322" t="str">
        <f>IF(O16="×","【要修正】《ハイフンは入力不要》やりとりをするための電話番号を入力してください。","適切に入力がされました。")</f>
        <v>【要修正】《ハイフンは入力不要》やりとりをするための電話番号を入力してください。</v>
      </c>
      <c r="Q16" s="426"/>
      <c r="R16" s="426"/>
      <c r="S16" s="426"/>
      <c r="T16" s="426"/>
      <c r="U16" s="426"/>
      <c r="V16" s="426"/>
      <c r="W16" s="426"/>
      <c r="X16" s="423"/>
      <c r="Y16" s="423"/>
      <c r="Z16" s="423"/>
      <c r="AA16" s="423"/>
      <c r="AB16" s="424"/>
      <c r="AC16" s="26"/>
      <c r="AD16" s="26"/>
      <c r="AE16" s="215" t="str">
        <f t="shared" si="1"/>
        <v>電話番号（担当直通）/</v>
      </c>
      <c r="AF16" s="92" t="str">
        <f>IF(O16="○",ASC(H16)&amp;"-"&amp;ASC(J16)&amp;"-"&amp;ASC(L16),"")</f>
        <v/>
      </c>
    </row>
    <row r="17" spans="2:38" ht="24.95" customHeight="1" thickBot="1" x14ac:dyDescent="0.45">
      <c r="B17" s="470"/>
      <c r="C17" s="357" t="s">
        <v>76</v>
      </c>
      <c r="D17" s="358"/>
      <c r="E17" s="358"/>
      <c r="F17" s="358"/>
      <c r="G17" s="359"/>
      <c r="H17" s="428"/>
      <c r="I17" s="429"/>
      <c r="J17" s="429"/>
      <c r="K17" s="429"/>
      <c r="L17" s="429"/>
      <c r="M17" s="429"/>
      <c r="N17" s="430"/>
      <c r="O17" s="210" t="str">
        <f>IF(COUNTA(H17)=0,"×","○")</f>
        <v>×</v>
      </c>
      <c r="P17" s="379" t="str">
        <f>IF(COUNTA(H17)=0,"【要修正】【重要：間違えないように】やりとりをするためのメールアドレスを入力してください。","適切に入力がされました。")</f>
        <v>【要修正】【重要：間違えないように】やりとりをするためのメールアドレスを入力してください。</v>
      </c>
      <c r="Q17" s="427"/>
      <c r="R17" s="427"/>
      <c r="S17" s="427"/>
      <c r="T17" s="427"/>
      <c r="U17" s="427"/>
      <c r="V17" s="427"/>
      <c r="W17" s="427"/>
      <c r="X17" s="380"/>
      <c r="Y17" s="380"/>
      <c r="Z17" s="380"/>
      <c r="AA17" s="380"/>
      <c r="AB17" s="381"/>
      <c r="AC17" s="26"/>
      <c r="AD17" s="26"/>
      <c r="AE17" s="215" t="str">
        <f t="shared" si="1"/>
        <v>Mailｱﾄﾞﾚｽ（担当直通）/</v>
      </c>
      <c r="AF17" s="92" t="str">
        <f>ASC(H17)</f>
        <v/>
      </c>
    </row>
    <row r="18" spans="2:38" ht="24.95" hidden="1" customHeight="1" thickTop="1" x14ac:dyDescent="0.4">
      <c r="B18" s="471" t="s">
        <v>116</v>
      </c>
      <c r="C18" s="490" t="s">
        <v>162</v>
      </c>
      <c r="D18" s="491"/>
      <c r="E18" s="491"/>
      <c r="F18" s="491"/>
      <c r="G18" s="492"/>
      <c r="H18" s="207"/>
      <c r="I18" s="208"/>
      <c r="J18" s="208"/>
      <c r="K18" s="209"/>
      <c r="L18" s="335"/>
      <c r="M18" s="335"/>
      <c r="N18" s="336"/>
      <c r="O18" s="146" t="str">
        <f xml:space="preserve">
IF(テーブル!B3="事前協議","○",
IF(AND(OR(テーブル!B3="交付申請兼実績報告書",テーブル!B3="交付申請",テーブル!B3="交付申請（２次以降）"),COUNTA(H18:K18)=4),"○",
IF(AND(OR(テーブル!B3="交付申請兼実績報告書",テーブル!B3="交付申請",テーブル!B3="交付申請（２次以降）"),COUNTA(H18:K18)&lt;&gt;4),"×",
IF(テーブル!B3="変更申請","○",
IF(テーブル!B3="実績報告","○")))))</f>
        <v>○</v>
      </c>
      <c r="P18" s="345" t="str">
        <f xml:space="preserve">
IF(テーブル!B3="事前協議","－",
IF(AND(OR(テーブル!B3="交付申請兼実績報告書",テーブル!B3="交付申請",テーブル!B3="交付申請（２次以降）"),COUNTA(H18:K18)=4),"適切に入力がされました。",
IF(AND(OR(テーブル!B3="交付申請兼実績報告書",テーブル!B3="交付申請",テーブル!B3="交付申請（２次以降）"),COUNTA(H18:K18)&lt;&gt;4),"【要修正】振込先口座の金融機関コード（４桁）を入力してください。",
IF(テーブル!B3="変更申請","－",
IF(テーブル!B3="実績報告","－")))))</f>
        <v>－</v>
      </c>
      <c r="Q18" s="346"/>
      <c r="R18" s="346"/>
      <c r="S18" s="346"/>
      <c r="T18" s="346"/>
      <c r="U18" s="346"/>
      <c r="V18" s="346"/>
      <c r="W18" s="346"/>
      <c r="X18" s="346"/>
      <c r="Y18" s="346"/>
      <c r="Z18" s="346"/>
      <c r="AA18" s="346"/>
      <c r="AB18" s="347"/>
      <c r="AC18" s="26"/>
      <c r="AD18" s="26"/>
      <c r="AE18" s="215" t="str">
        <f t="shared" si="1"/>
        <v/>
      </c>
      <c r="AF18" s="92" t="str">
        <f>ASC(H18&amp;I18&amp;J18&amp;K18)</f>
        <v/>
      </c>
      <c r="AL18" s="42" t="s">
        <v>112</v>
      </c>
    </row>
    <row r="19" spans="2:38" ht="24.95" hidden="1" customHeight="1" x14ac:dyDescent="0.4">
      <c r="B19" s="472"/>
      <c r="C19" s="319" t="s">
        <v>114</v>
      </c>
      <c r="D19" s="348"/>
      <c r="E19" s="348"/>
      <c r="F19" s="348"/>
      <c r="G19" s="349"/>
      <c r="H19" s="339"/>
      <c r="I19" s="340"/>
      <c r="J19" s="340"/>
      <c r="K19" s="340"/>
      <c r="L19" s="340"/>
      <c r="M19" s="340"/>
      <c r="N19" s="341"/>
      <c r="O19" s="29" t="str">
        <f xml:space="preserve">
IF(テーブル!B3="事前協議","○",
IF(AND(OR(テーブル!B3="交付申請兼実績報告書",テーブル!B3="交付申請",テーブル!B3="交付申請（２次以降）"),COUNTA(H19)=1),"○",
IF(AND(OR(テーブル!B3="交付申請兼実績報告書",テーブル!B3="交付申請",テーブル!B3="交付申請（２次以降）"),COUNTA(H19)&lt;&gt;1),"×",
IF(テーブル!B3="変更申請","○",
IF(テーブル!B3="実績報告","○")))))</f>
        <v>○</v>
      </c>
      <c r="P19" s="342" t="str">
        <f xml:space="preserve">
IF(テーブル!B3="事前協議","－",
IF(AND(OR(テーブル!B3="交付申請兼実績報告書",テーブル!B3="交付申請",テーブル!B3="交付申請（２次以降）"),COUNTA(H19)=1),"適切に入力がされました",
IF(AND(OR(テーブル!B3="交付申請兼実績報告書",テーブル!B3="交付申請",テーブル!B3="交付申請（２次以降）"),COUNTA(H19)&lt;&gt;1),"【要修正】振込先口座の金融機関名を入力してください。（「○○銀行」まで）",
IF(テーブル!B3="変更申請","－",
IF(テーブル!B3="実績報告","－")))))</f>
        <v>－</v>
      </c>
      <c r="Q19" s="343"/>
      <c r="R19" s="343"/>
      <c r="S19" s="343"/>
      <c r="T19" s="343"/>
      <c r="U19" s="343"/>
      <c r="V19" s="343"/>
      <c r="W19" s="343"/>
      <c r="X19" s="343"/>
      <c r="Y19" s="343"/>
      <c r="Z19" s="343"/>
      <c r="AA19" s="343"/>
      <c r="AB19" s="344"/>
      <c r="AC19" s="26"/>
      <c r="AD19" s="26"/>
      <c r="AE19" s="215" t="str">
        <f t="shared" si="1"/>
        <v/>
      </c>
      <c r="AF19" s="92" t="str">
        <f t="shared" ref="AF19:AF21" si="2">ASC(H19)</f>
        <v/>
      </c>
    </row>
    <row r="20" spans="2:38" ht="24.95" hidden="1" customHeight="1" x14ac:dyDescent="0.4">
      <c r="B20" s="472"/>
      <c r="C20" s="319" t="s">
        <v>163</v>
      </c>
      <c r="D20" s="348"/>
      <c r="E20" s="348"/>
      <c r="F20" s="348"/>
      <c r="G20" s="349"/>
      <c r="H20" s="95"/>
      <c r="I20" s="124"/>
      <c r="J20" s="125"/>
      <c r="K20" s="337"/>
      <c r="L20" s="337"/>
      <c r="M20" s="337"/>
      <c r="N20" s="338"/>
      <c r="O20" s="29" t="str">
        <f xml:space="preserve">
IF(テーブル!B3="事前協議","○",
IF(AND(OR(テーブル!B3="交付申請兼実績報告書",テーブル!B3="交付申請",テーブル!B3="交付申請（２次以降）"),COUNTA(H20:J20)=3),"○",
IF(AND(OR(テーブル!B3="交付申請兼実績報告書",テーブル!B3="交付申請",テーブル!B3="交付申請（２次以降）"),COUNTA(H20:J20)&lt;&gt;3),"×",
IF(テーブル!B3="変更申請","○",
IF(テーブル!B3="実績報告","○")))))</f>
        <v>○</v>
      </c>
      <c r="P20" s="342" t="str">
        <f xml:space="preserve">
IF(テーブル!B3="事前協議","－",
IF(AND(OR(テーブル!B3="交付申請兼実績報告書",テーブル!B3="交付申請",テーブル!B3="交付申請（２次以降）"),COUNTA(H20:J20)=3),"適切に入力がされました。",
IF(AND(OR(テーブル!B3="交付申請兼実績報告書",テーブル!B3="交付申請",テーブル!B3="交付申請（２次以降）"),COUNTA(H20:J20)&lt;&gt;3),"【要修正】振込先口座の支店コード（３桁）を入力してください。",
IF(テーブル!B3="変更申請","－",
IF(テーブル!B3="実績報告","－")))))</f>
        <v>－</v>
      </c>
      <c r="Q20" s="343"/>
      <c r="R20" s="343"/>
      <c r="S20" s="343"/>
      <c r="T20" s="343"/>
      <c r="U20" s="343"/>
      <c r="V20" s="343"/>
      <c r="W20" s="343"/>
      <c r="X20" s="343"/>
      <c r="Y20" s="343"/>
      <c r="Z20" s="343"/>
      <c r="AA20" s="343"/>
      <c r="AB20" s="344"/>
      <c r="AC20" s="26"/>
      <c r="AD20" s="26"/>
      <c r="AE20" s="215" t="str">
        <f t="shared" si="1"/>
        <v/>
      </c>
      <c r="AF20" s="92" t="str">
        <f>ASC(H18&amp;I18&amp;J18&amp;K18&amp;H20&amp;I20&amp;J20)</f>
        <v/>
      </c>
    </row>
    <row r="21" spans="2:38" ht="24.95" hidden="1" customHeight="1" x14ac:dyDescent="0.4">
      <c r="B21" s="472"/>
      <c r="C21" s="319" t="s">
        <v>118</v>
      </c>
      <c r="D21" s="348"/>
      <c r="E21" s="348"/>
      <c r="F21" s="348"/>
      <c r="G21" s="349"/>
      <c r="H21" s="339"/>
      <c r="I21" s="340"/>
      <c r="J21" s="340"/>
      <c r="K21" s="340"/>
      <c r="L21" s="340"/>
      <c r="M21" s="340"/>
      <c r="N21" s="341"/>
      <c r="O21" s="29" t="str">
        <f xml:space="preserve">
IF(テーブル!B3="事前協議","○",
IF(AND(OR(テーブル!B3="交付申請兼実績報告書",テーブル!B3="交付申請",テーブル!B3="交付申請（２次以降）"),COUNTA(H21)=1),"○",
IF(AND(OR(テーブル!B3="交付申請兼実績報告書",テーブル!B3="交付申請",テーブル!B3="交付申請（２次以降）"),COUNTA(H21)&lt;&gt;1),"×",
IF(テーブル!B3="変更申請","○",
IF(テーブル!B3="実績報告","○")))))</f>
        <v>○</v>
      </c>
      <c r="P21" s="342" t="str">
        <f xml:space="preserve">
IF(テーブル!B3="事前協議","－",
IF(AND(OR(テーブル!B3="交付申請兼実績報告書",テーブル!B3="交付申請",テーブル!B3="交付申請（２次以降）"),COUNTA(H21)=1),"適切に入力がされました",
IF(AND(OR(テーブル!B3="交付申請兼実績報告書",テーブル!B3="交付申請",テーブル!B3="交付申請（２次以降）"),COUNTA(H21)&lt;&gt;1),"【要修正】振込先口座の店名（支店名）を入力してください。",
IF(テーブル!B3="変更申請","－",
IF(テーブル!B3="実績報告","－")))))</f>
        <v>－</v>
      </c>
      <c r="Q21" s="343"/>
      <c r="R21" s="343"/>
      <c r="S21" s="343"/>
      <c r="T21" s="343"/>
      <c r="U21" s="343"/>
      <c r="V21" s="343"/>
      <c r="W21" s="343"/>
      <c r="X21" s="343"/>
      <c r="Y21" s="343"/>
      <c r="Z21" s="343"/>
      <c r="AA21" s="343"/>
      <c r="AB21" s="344"/>
      <c r="AC21" s="26"/>
      <c r="AD21" s="26"/>
      <c r="AE21" s="215" t="str">
        <f t="shared" si="1"/>
        <v/>
      </c>
      <c r="AF21" s="92" t="str">
        <f t="shared" si="2"/>
        <v/>
      </c>
    </row>
    <row r="22" spans="2:38" ht="24.95" hidden="1" customHeight="1" x14ac:dyDescent="0.4">
      <c r="B22" s="472"/>
      <c r="C22" s="319" t="s">
        <v>119</v>
      </c>
      <c r="D22" s="348"/>
      <c r="E22" s="348"/>
      <c r="F22" s="348"/>
      <c r="G22" s="349"/>
      <c r="H22" s="96"/>
      <c r="I22" s="375" t="s">
        <v>367</v>
      </c>
      <c r="J22" s="375"/>
      <c r="K22" s="375"/>
      <c r="L22" s="375"/>
      <c r="M22" s="375"/>
      <c r="N22" s="474"/>
      <c r="O22" s="29" t="str">
        <f xml:space="preserve">
IF(テーブル!B3="事前協議","○",
IF(AND(OR(テーブル!B3="交付申請兼実績報告書",テーブル!B3="交付申請",テーブル!B3="交付申請（２次以降）"),COUNTA(H22)=1),"○",
IF(AND(OR(テーブル!B3="交付申請兼実績報告書",テーブル!B3="交付申請",テーブル!B3="交付申請（２次以降）"),COUNTA(H22)&lt;&gt;1),"×",
IF(テーブル!B3="変更申請","○",
IF(テーブル!B3="実績報告","○")))))</f>
        <v>○</v>
      </c>
      <c r="P22" s="342" t="str">
        <f xml:space="preserve">
IF(テーブル!B3="事前協議","－",
IF(AND(OR(テーブル!B3="交付申請兼実績報告書",テーブル!B3="交付申請",テーブル!B3="交付申請（２次以降）"),COUNTA(H22)=1),"適切に入力がされました。",
IF(AND(OR(テーブル!B3="交付申請兼実績報告書",テーブル!B3="交付申請",テーブル!B3="交付申請（２次以降）"),COUNTA(H22)&lt;&gt;1),"【要修正】預金口座種別を選択してください。",
IF(テーブル!B3="変更申請","○",
IF(テーブル!B3="実績報告","○")))))</f>
        <v>－</v>
      </c>
      <c r="Q22" s="343"/>
      <c r="R22" s="343"/>
      <c r="S22" s="343"/>
      <c r="T22" s="343"/>
      <c r="U22" s="343"/>
      <c r="V22" s="343"/>
      <c r="W22" s="343"/>
      <c r="X22" s="343"/>
      <c r="Y22" s="343"/>
      <c r="Z22" s="343"/>
      <c r="AA22" s="343"/>
      <c r="AB22" s="344"/>
      <c r="AC22" s="26"/>
      <c r="AD22" s="26"/>
      <c r="AE22" s="215" t="str">
        <f t="shared" si="1"/>
        <v/>
      </c>
      <c r="AF22" s="92" t="str">
        <f>ASC(H22)</f>
        <v/>
      </c>
      <c r="AL22" s="41">
        <v>1</v>
      </c>
    </row>
    <row r="23" spans="2:38" ht="24.95" hidden="1" customHeight="1" x14ac:dyDescent="0.4">
      <c r="B23" s="472"/>
      <c r="C23" s="319" t="s">
        <v>120</v>
      </c>
      <c r="D23" s="348"/>
      <c r="E23" s="348"/>
      <c r="F23" s="348"/>
      <c r="G23" s="349"/>
      <c r="H23" s="95"/>
      <c r="I23" s="124"/>
      <c r="J23" s="124"/>
      <c r="K23" s="124"/>
      <c r="L23" s="124"/>
      <c r="M23" s="124"/>
      <c r="N23" s="125"/>
      <c r="O23" s="29" t="str">
        <f xml:space="preserve">
IF(テーブル!B3="事前協議","○",
IF(AND(OR(テーブル!B3="交付申請兼実績報告書",テーブル!B3="交付申請",テーブル!B3="交付申請（２次以降）"),COUNTA(H23:N23)=7),"○",
IF(AND(OR(テーブル!B3="交付申請兼実績報告書",テーブル!B3="交付申請",テーブル!B3="交付申請（２次以降）"),COUNTA(H23:N23)&lt;&gt;7),"×",
IF(テーブル!B3="変更申請","○",
IF(AND(テーブル!B3="実績報告","○",COUNTA(H23:N23)=7),"○",
IF(AND(テーブル!B3="実績報告","○",COUNTA(H23:N23)&lt;&gt;7),"○",))))))</f>
        <v>○</v>
      </c>
      <c r="P23" s="342" t="str">
        <f xml:space="preserve">
IF(テーブル!B3="事前協議","－",
IF(AND(OR(テーブル!B3="交付申請兼実績報告書",テーブル!B3="交付申請",テーブル!B3="交付申請（２次以降）"),COUNTA(H23:N23)=7),"適切に入力がされました。",
IF(AND(OR(テーブル!B3="交付申請兼実績報告書",テーブル!B3="交付申請",テーブル!B3="交付申請（２次以降）"),COUNTA(H23:N23)&lt;&gt;7),"【要修正】振込先口座番号（７桁）を入力してください。（７桁以下の番号は先頭に「0」を入力。）",
IF(テーブル!B3="変更申請","－",
IF(テーブル!B3="実績報告","－")))))</f>
        <v>－</v>
      </c>
      <c r="Q23" s="343"/>
      <c r="R23" s="343"/>
      <c r="S23" s="343"/>
      <c r="T23" s="343"/>
      <c r="U23" s="343"/>
      <c r="V23" s="343"/>
      <c r="W23" s="343"/>
      <c r="X23" s="343"/>
      <c r="Y23" s="343"/>
      <c r="Z23" s="343"/>
      <c r="AA23" s="343"/>
      <c r="AB23" s="344"/>
      <c r="AC23" s="26"/>
      <c r="AD23" s="26"/>
      <c r="AE23" s="215" t="str">
        <f t="shared" si="1"/>
        <v/>
      </c>
      <c r="AF23" s="93" t="str">
        <f>ASC(H23&amp;I23&amp;J23&amp;K23&amp;L23&amp;M23&amp;N23)</f>
        <v/>
      </c>
      <c r="AL23" s="41">
        <v>2</v>
      </c>
    </row>
    <row r="24" spans="2:38" ht="24.95" hidden="1" customHeight="1" thickBot="1" x14ac:dyDescent="0.45">
      <c r="B24" s="473"/>
      <c r="C24" s="443" t="s">
        <v>113</v>
      </c>
      <c r="D24" s="444"/>
      <c r="E24" s="444"/>
      <c r="F24" s="444"/>
      <c r="G24" s="445"/>
      <c r="H24" s="446"/>
      <c r="I24" s="447"/>
      <c r="J24" s="447"/>
      <c r="K24" s="447"/>
      <c r="L24" s="447"/>
      <c r="M24" s="447"/>
      <c r="N24" s="448"/>
      <c r="O24" s="210" t="str">
        <f xml:space="preserve">
IF(テーブル!B3="事前協議","○",
IF(AND(OR(テーブル!B3="交付申請兼実績報告書",テーブル!B3="交付申請",テーブル!B3="交付申請（２次以降）"),COUNTA(H24)=1),"○",
IF(AND(OR(テーブル!B3="交付申請兼実績報告書",テーブル!B3="交付申請",テーブル!B3="交付申請（２次以降）"),COUNTA(H24)&lt;&gt;1),"×",
IF(テーブル!B3="変更申請","○",
IF(テーブル!B3="実績報告","○")))))</f>
        <v>○</v>
      </c>
      <c r="P24" s="379" t="str">
        <f xml:space="preserve">
IF(テーブル!B3="事前協議","－",
IF(AND(OR(テーブル!B3="交付申請兼実績報告書",テーブル!B3="交付申請",テーブル!B3="交付申請（２次以降）"),COUNTA(H24)=1),"適切に入力がされました。",
IF(AND(OR(テーブル!B3="交付申請兼実績報告書",テーブル!B3="交付申請",テーブル!B3="交付申請（２次以降）"),COUNTA(H24)&lt;&gt;1),"【要修正】振込先口座の名義（半角ｶﾅ）を入力してください。",
IF(テーブル!B3="変更申請","－",
IF(テーブル!B3="実績報告","－")))))</f>
        <v>－</v>
      </c>
      <c r="Q24" s="380"/>
      <c r="R24" s="380"/>
      <c r="S24" s="380"/>
      <c r="T24" s="380"/>
      <c r="U24" s="380"/>
      <c r="V24" s="380"/>
      <c r="W24" s="380"/>
      <c r="X24" s="380"/>
      <c r="Y24" s="380"/>
      <c r="Z24" s="380"/>
      <c r="AA24" s="380"/>
      <c r="AB24" s="381"/>
      <c r="AC24" s="26"/>
      <c r="AD24" s="26"/>
      <c r="AE24" s="215" t="str">
        <f t="shared" si="1"/>
        <v/>
      </c>
      <c r="AF24" s="92" t="str">
        <f>ASC(H24)</f>
        <v/>
      </c>
    </row>
    <row r="25" spans="2:38" ht="24.95" customHeight="1" thickTop="1" thickBot="1" x14ac:dyDescent="0.45">
      <c r="B25" s="212"/>
      <c r="C25" s="403" t="s">
        <v>359</v>
      </c>
      <c r="D25" s="404"/>
      <c r="E25" s="404"/>
      <c r="F25" s="404"/>
      <c r="G25" s="405"/>
      <c r="H25" s="406" t="s">
        <v>381</v>
      </c>
      <c r="I25" s="407"/>
      <c r="J25" s="407"/>
      <c r="K25" s="407"/>
      <c r="L25" s="407"/>
      <c r="M25" s="407"/>
      <c r="N25" s="408"/>
      <c r="O25" s="214" t="str">
        <f>基本情報!AE1</f>
        <v>×</v>
      </c>
      <c r="P25" s="409" t="str">
        <f>VLOOKUP(O25,基本情報!AP6:AQ7,2,FALSE)</f>
        <v>【要修正】未入力または入力不十分の箇所があります。</v>
      </c>
      <c r="Q25" s="410"/>
      <c r="R25" s="410"/>
      <c r="S25" s="410"/>
      <c r="T25" s="410"/>
      <c r="U25" s="410"/>
      <c r="V25" s="410"/>
      <c r="W25" s="410"/>
      <c r="X25" s="410"/>
      <c r="Y25" s="410"/>
      <c r="Z25" s="410"/>
      <c r="AA25" s="410"/>
      <c r="AB25" s="411"/>
      <c r="AC25" s="26"/>
      <c r="AD25" s="26"/>
      <c r="AE25" s="215" t="str">
        <f t="shared" si="1"/>
        <v>基本情報/</v>
      </c>
      <c r="AF25" s="92"/>
    </row>
    <row r="26" spans="2:38" ht="24.95" customHeight="1" thickTop="1" x14ac:dyDescent="0.4">
      <c r="B26" s="310" t="s">
        <v>311</v>
      </c>
      <c r="C26" s="313" t="s">
        <v>303</v>
      </c>
      <c r="D26" s="314"/>
      <c r="E26" s="314"/>
      <c r="F26" s="314"/>
      <c r="G26" s="315"/>
      <c r="H26" s="202" t="s">
        <v>47</v>
      </c>
      <c r="I26" s="203"/>
      <c r="J26" s="204" t="s">
        <v>49</v>
      </c>
      <c r="K26" s="203"/>
      <c r="L26" s="204" t="s">
        <v>305</v>
      </c>
      <c r="M26" s="203"/>
      <c r="N26" s="205" t="s">
        <v>84</v>
      </c>
      <c r="O26" s="201" t="str">
        <f ca="1" xml:space="preserve">
IF(AND(看板!AZ2="◎",COUNTA(I26,K26,M26)=0),"×",
IF(AND(看板!AZ2="◎",COUNTA(I26,K26,M26)&gt;=1,COUNTA(I26,K26,M26)&lt;3),"×",
IF(AND(看板!AZ2="◎",COUNTA(I26,K26,M26)=3),"○",
IF(AND(看板!AZ2="○",COUNTA(I26,K26,M26)=0),"○",
IF(AND(看板!AZ2="○",COUNTA(I26,K26,M26)&gt;=1,COUNTA(I26,K26,M26)&lt;3),"×",
IF(AND(看板!AZ2="○",COUNTA(I26,K26,M26)=3),"×",
IF(AND(看板!AZ2="×",COUNTA(I26,K26,M26)=0),"×",
IF(AND(看板!AZ2="×",COUNTA(I26,K26,M26)&gt;=1,COUNTA(I26,K26,M26)&lt;3),"×",
IF(AND(看板!AZ2="×",COUNTA(I26,K26,M26)=3),"×")))))))))</f>
        <v>○</v>
      </c>
      <c r="P26" s="316" t="str">
        <f ca="1" xml:space="preserve">
IF(AND(看板!AZ2="◎",COUNTA(I26,K26,M26)=0),"【要修正】経費計上されているので日付を入力してください。",
IF(AND(看板!AZ2="◎",COUNTA(I26,K26,M26)&gt;=1,COUNTA(I26,K26,M26)&lt;3),"【要修正】最終納品日の日付の入力が不十分です。",
IF(AND(看板!AZ2="◎",COUNTA(I26,K26,M26)=3),"適切に入力がされました。",
IF(AND(看板!AZ2="○",COUNTA(I26,K26,M26)=0),"申請しない場合は入力不要です。",
IF(AND(看板!AZ2="○",COUNTA(I26,K26,M26)&gt;=1,COUNTA(I26,K26,M26)&lt;3),"【要修正】経費情報を入力し、最終納品日の日付を全て入力してください。",
IF(AND(看板!AZ2="○",COUNTA(I26,K26,M26)=3),"【要修正】経費情報が入力されていません。",
IF(AND(看板!AZ2="×",COUNTA(I26,K26,M26)=0),"【要修正】経費情報が入力不十分、最終納品日の日付を入力してください。",
IF(AND(看板!AZ2="×",COUNTA(I26,K26,M26)&gt;=1,COUNTA(I26,K26,M26)&lt;3),"【要修正】経費情報及び最終納品日の日付が入力不十分です。",
IF(AND(看板!AZ2="×",COUNTA(I26,K26,M26)=3),"【要修正】経費情報が入力不十分です。")))))))))</f>
        <v>申請しない場合は入力不要です。</v>
      </c>
      <c r="Q26" s="317"/>
      <c r="R26" s="317"/>
      <c r="S26" s="317"/>
      <c r="T26" s="317"/>
      <c r="U26" s="317"/>
      <c r="V26" s="317"/>
      <c r="W26" s="317"/>
      <c r="X26" s="317"/>
      <c r="Y26" s="317"/>
      <c r="Z26" s="317"/>
      <c r="AA26" s="317"/>
      <c r="AB26" s="318"/>
      <c r="AC26" s="26"/>
      <c r="AD26" s="26"/>
      <c r="AE26" s="215" t="str">
        <f t="shared" ca="1" si="1"/>
        <v/>
      </c>
      <c r="AF26" s="92"/>
    </row>
    <row r="27" spans="2:38" ht="24.95" customHeight="1" x14ac:dyDescent="0.4">
      <c r="B27" s="311"/>
      <c r="C27" s="319" t="s">
        <v>308</v>
      </c>
      <c r="D27" s="320"/>
      <c r="E27" s="320"/>
      <c r="F27" s="320"/>
      <c r="G27" s="321"/>
      <c r="H27" s="147" t="s">
        <v>47</v>
      </c>
      <c r="I27" s="149"/>
      <c r="J27" s="148" t="s">
        <v>49</v>
      </c>
      <c r="K27" s="149"/>
      <c r="L27" s="148" t="s">
        <v>305</v>
      </c>
      <c r="M27" s="149"/>
      <c r="N27" s="150" t="s">
        <v>84</v>
      </c>
      <c r="O27" s="29" t="str">
        <f xml:space="preserve">
IF(AND(HP!AZ4="◎",COUNTA(I27,K27,M27)=0),"×",
IF(AND(HP!AZ4="◎",COUNTA(I27,K27,M27)&gt;=1,COUNTA(I27,K27,M27)&lt;3),"×",
IF(AND(HP!AZ4="◎",COUNTA(I27,K27,M27)=3),"○",
IF(AND(HP!AZ4="○",COUNTA(I27,K27,M27)=0),"○",
IF(AND(HP!AZ4="○",COUNTA(I27,K27,M27)&gt;=1,COUNTA(I27,K27,M27)&lt;3),"×",
IF(AND(HP!AZ4="○",COUNTA(I27,K27,M27)=3),"×",
IF(AND(HP!AZ4="×",COUNTA(I27,K27,M27)=0),"×",
IF(AND(HP!AZ4="×",COUNTA(I27,K27,M27)&gt;=1,COUNTA(I27,K27,M27)&lt;3),"×",
IF(AND(HP!AZ4="×",COUNTA(I27,K27,M27)=3),"×")))))))))</f>
        <v>○</v>
      </c>
      <c r="P27" s="322" t="str">
        <f xml:space="preserve">
IF(AND(HP!AZ4="◎",COUNTA(I27,K27,M27)=0),"【要修正】経費計上されているので日付を入力してください。",
IF(AND(HP!AZ4="◎",COUNTA(I27,K27,M27)&gt;=1,COUNTA(I27,K27,M27)&lt;3),"【要修正】最終納品日の日付の入力が不十分です。",
IF(AND(HP!AZ4="◎",COUNTA(I27,K27,M27)=3),"適切に入力がされました。",
IF(AND(HP!AZ4="○",COUNTA(I27,K27,M27)=0),"申請しない場合は入力不要です。",
IF(AND(HP!AZ4="○",COUNTA(I27,K27,M27)&gt;=1,COUNTA(I27,K27,M27)&lt;3),"【要修正】経費情報を入力し、最終納品日の日付を全て入力してください。",
IF(AND(HP!AZ4="○",COUNTA(I27,K27,M27)=3),"【要修正】経費情報が入力されていません。",
IF(AND(HP!AZ4="×",COUNTA(I27,K27,M27)=0),"【要修正】経費情報が入力不十分、最終納品日の日付を入力してください。",
IF(AND(HP!AZ4="×",COUNTA(I27,K27,M27)&gt;=1,COUNTA(I27,K27,M27)&lt;3),"【要修正】経費情報及び最終納品日の日付が入力不十分です。",
IF(AND(HP!AZ4="×",COUNTA(I27,K27,M27)=3),"【要修正】経費情報が入力不十分です。")))))))))</f>
        <v>申請しない場合は入力不要です。</v>
      </c>
      <c r="Q27" s="323"/>
      <c r="R27" s="323"/>
      <c r="S27" s="323"/>
      <c r="T27" s="323"/>
      <c r="U27" s="323"/>
      <c r="V27" s="323"/>
      <c r="W27" s="323"/>
      <c r="X27" s="323"/>
      <c r="Y27" s="323"/>
      <c r="Z27" s="323"/>
      <c r="AA27" s="323"/>
      <c r="AB27" s="324"/>
      <c r="AC27" s="26"/>
      <c r="AD27" s="26"/>
      <c r="AE27" s="215" t="str">
        <f t="shared" si="1"/>
        <v/>
      </c>
      <c r="AF27" s="92"/>
    </row>
    <row r="28" spans="2:38" ht="24.95" customHeight="1" x14ac:dyDescent="0.4">
      <c r="B28" s="311"/>
      <c r="C28" s="319" t="s">
        <v>309</v>
      </c>
      <c r="D28" s="320"/>
      <c r="E28" s="320"/>
      <c r="F28" s="320"/>
      <c r="G28" s="321"/>
      <c r="H28" s="147" t="s">
        <v>47</v>
      </c>
      <c r="I28" s="149"/>
      <c r="J28" s="148" t="s">
        <v>49</v>
      </c>
      <c r="K28" s="203"/>
      <c r="L28" s="148" t="s">
        <v>305</v>
      </c>
      <c r="M28" s="149"/>
      <c r="N28" s="150" t="s">
        <v>84</v>
      </c>
      <c r="O28" s="29" t="str">
        <f xml:space="preserve">
IF(AND(医療機器・サーモ・換気設備!AW62="◎",COUNTA(I28,K28,M28)=0),"×",
IF(AND(医療機器・サーモ・換気設備!AW62="◎",COUNTA(I28,K28,M28)&gt;=1,COUNTA(I28,K28,M28)&lt;3),"×",
IF(AND(医療機器・サーモ・換気設備!AW62="◎",COUNTA(I28,K28,M28)=3),"○",
IF(AND(医療機器・サーモ・換気設備!AW62="○",COUNTA(I28,K28,M28)=0),"○",
IF(AND(医療機器・サーモ・換気設備!AW62="○",COUNTA(I28,K28,M28)&gt;=1,COUNTA(I28,K28,M28)&lt;3),"×",
IF(AND(医療機器・サーモ・換気設備!AW62="○",COUNTA(I28,K28,M28)=3),"×",
IF(AND(医療機器・サーモ・換気設備!AW62="×",COUNTA(I28,K28,M28)=0),"×",
IF(AND(医療機器・サーモ・換気設備!AW62="×",COUNTA(I28,K28,M28)&gt;=1,COUNTA(I28,K28,M28)&lt;3),"×",
IF(AND(医療機器・サーモ・換気設備!AW62="×",COUNTA(I28,K28,M28)=3),"×")))))))))</f>
        <v>○</v>
      </c>
      <c r="P28" s="322" t="str">
        <f xml:space="preserve">
IF(AND(医療機器・サーモ・換気設備!AW62="◎",COUNTA(I28,K28,M28)=0),"【要修正】経費計上されているので日付を入力してください。",
IF(AND(医療機器・サーモ・換気設備!AW62="◎",COUNTA(I28,K28,M28)&gt;=1,COUNTA(I28,K28,M28)&lt;3),"【要修正】最終納品日の日付の入力が不十分です。",
IF(AND(医療機器・サーモ・換気設備!AW62="◎",COUNTA(I28,K28,M28)=3),"適切に入力がされました。",
IF(AND(医療機器・サーモ・換気設備!AW62="○",COUNTA(I28,K28,M28)=0),"申請しない場合は入力不要です。",
IF(AND(医療機器・サーモ・換気設備!AW62="○",COUNTA(I28,K28,M28)&gt;=1,COUNTA(I28,K28,M28)&lt;3),"【要修正】経費情報を入力し、最終納品日の日付を全て入力してください。",
IF(AND(医療機器・サーモ・換気設備!AW62="○",COUNTA(I28,K28,M28)=3),"【要修正】経費情報が入力されていません。",
IF(AND(医療機器・サーモ・換気設備!AW62="×",COUNTA(I28,K28,M28)=0),"【要修正】経費情報が入力不十分、最終納品日の日付を入力してください。",
IF(AND(医療機器・サーモ・換気設備!AW62="×",COUNTA(I28,K28,M28)&gt;=1,COUNTA(I28,K28,M28)&lt;3),"【要修正】経費情報及び最終納品日の日付が入力不十分です。",
IF(AND(医療機器・サーモ・換気設備!AW62="×",COUNTA(I28,K28,M28)=3),"【要修正】経費情報が入力不十分です。")))))))))</f>
        <v>申請しない場合は入力不要です。</v>
      </c>
      <c r="Q28" s="323"/>
      <c r="R28" s="323"/>
      <c r="S28" s="323"/>
      <c r="T28" s="323"/>
      <c r="U28" s="323"/>
      <c r="V28" s="323"/>
      <c r="W28" s="323"/>
      <c r="X28" s="323"/>
      <c r="Y28" s="323"/>
      <c r="Z28" s="323"/>
      <c r="AA28" s="323"/>
      <c r="AB28" s="324"/>
      <c r="AC28" s="26"/>
      <c r="AD28" s="26"/>
      <c r="AE28" s="215" t="str">
        <f t="shared" si="1"/>
        <v/>
      </c>
      <c r="AF28" s="92"/>
    </row>
    <row r="29" spans="2:38" ht="24.95" customHeight="1" x14ac:dyDescent="0.4">
      <c r="B29" s="311"/>
      <c r="C29" s="325" t="s">
        <v>310</v>
      </c>
      <c r="D29" s="320"/>
      <c r="E29" s="320"/>
      <c r="F29" s="320"/>
      <c r="G29" s="321"/>
      <c r="H29" s="147" t="s">
        <v>47</v>
      </c>
      <c r="I29" s="149"/>
      <c r="J29" s="148" t="s">
        <v>49</v>
      </c>
      <c r="K29" s="149"/>
      <c r="L29" s="148" t="s">
        <v>305</v>
      </c>
      <c r="M29" s="149"/>
      <c r="N29" s="150" t="s">
        <v>84</v>
      </c>
      <c r="O29" s="29" t="str">
        <f xml:space="preserve">
IF(AND(医療機器・サーモ・換気設備!AW20="◎",COUNTA(I29,K29,M29)=0),"×",
IF(AND(医療機器・サーモ・換気設備!AW20="◎",COUNTA(I29,K29,M29)&gt;=1,COUNTA(I29,K29,M29)&lt;3),"×",
IF(AND(医療機器・サーモ・換気設備!AW20="◎",COUNTA(I29,K29,M29)=3),"○",
IF(AND(医療機器・サーモ・換気設備!AW20="○",COUNTA(I29,K29,M29)=0),"○",
IF(AND(医療機器・サーモ・換気設備!AW20="○",COUNTA(I29,K29,M29)&gt;=1,COUNTA(I29,K29,M29)&lt;3),"×",
IF(AND(医療機器・サーモ・換気設備!AW20="○",COUNTA(I29,K29,M29)=3),"×",
IF(AND(医療機器・サーモ・換気設備!AW20="×",COUNTA(I29,K29,M29)=0),"×",
IF(AND(医療機器・サーモ・換気設備!AW20="×",COUNTA(I29,K29,M29)&gt;=1,COUNTA(I29,K29,M29)&lt;3),"×",
IF(AND(医療機器・サーモ・換気設備!AW20="×",COUNTA(I29,K29,M29)=3),"×")))))))))</f>
        <v>○</v>
      </c>
      <c r="P29" s="322" t="str">
        <f xml:space="preserve">
IF(AND(医療機器・サーモ・換気設備!AW20="◎",COUNTA(I29,K29,M29)=0),"【要修正】経費計上されているので日付を入力してください。",
IF(AND(医療機器・サーモ・換気設備!AW20="◎",COUNTA(I29,K29,M29)&gt;=1,COUNTA(I29,K29,M29)&lt;3),"【要修正】最終納品日の日付の入力が不十分です。",
IF(AND(医療機器・サーモ・換気設備!AW20="◎",COUNTA(I29,K29,M29)=3),"適切に入力がされました。",
IF(AND(医療機器・サーモ・換気設備!AW20="○",COUNTA(I29,K29,M29)=0),"申請しない場合は入力不要です。",
IF(AND(医療機器・サーモ・換気設備!AW20="○",COUNTA(I29,K29,M29)&gt;=1,COUNTA(I29,K29,M29)&lt;3),"【要修正】経費情報を入力し、最終納品日の日付を全て入力してください。",
IF(AND(医療機器・サーモ・換気設備!AW20="○",COUNTA(I29,K29,M29)=3),"【要修正】経費情報が入力されていません。",
IF(AND(医療機器・サーモ・換気設備!AW20="×",COUNTA(I29,K29,M29)=0),"【要修正】経費情報が入力不十分、最終納品日の日付を入力してください。",
IF(AND(医療機器・サーモ・換気設備!AW20="×",COUNTA(I29,K29,M29)&gt;=1,COUNTA(I29,K29,M29)&lt;3),"【要修正】経費情報及び最終納品日の日付が入力不十分です。",
IF(AND(医療機器・サーモ・換気設備!AW20="×",COUNTA(I29,K29,M29)=3),"【要修正】経費情報が入力不十分です。")))))))))</f>
        <v>申請しない場合は入力不要です。</v>
      </c>
      <c r="Q29" s="323"/>
      <c r="R29" s="323"/>
      <c r="S29" s="323"/>
      <c r="T29" s="323"/>
      <c r="U29" s="323"/>
      <c r="V29" s="323"/>
      <c r="W29" s="323"/>
      <c r="X29" s="323"/>
      <c r="Y29" s="323"/>
      <c r="Z29" s="323"/>
      <c r="AA29" s="323"/>
      <c r="AB29" s="324"/>
      <c r="AC29" s="26"/>
      <c r="AD29" s="26"/>
      <c r="AE29" s="215" t="str">
        <f t="shared" si="1"/>
        <v/>
      </c>
      <c r="AF29" s="92"/>
    </row>
    <row r="30" spans="2:38" ht="24.95" customHeight="1" thickBot="1" x14ac:dyDescent="0.45">
      <c r="B30" s="312"/>
      <c r="C30" s="326" t="s">
        <v>307</v>
      </c>
      <c r="D30" s="327"/>
      <c r="E30" s="327"/>
      <c r="F30" s="327"/>
      <c r="G30" s="328"/>
      <c r="H30" s="151" t="s">
        <v>47</v>
      </c>
      <c r="I30" s="153"/>
      <c r="J30" s="152" t="s">
        <v>49</v>
      </c>
      <c r="K30" s="203"/>
      <c r="L30" s="152" t="s">
        <v>305</v>
      </c>
      <c r="M30" s="153"/>
      <c r="N30" s="154" t="s">
        <v>84</v>
      </c>
      <c r="O30" s="155" t="str">
        <f xml:space="preserve">
IF(AND(医療機器・サーモ・換気設備!AW36="◎",COUNTA(I30,K30,M30)=0),"×",
IF(AND(医療機器・サーモ・換気設備!AW36="◎",COUNTA(I30,K30,M30)&gt;=1,COUNTA(I30,K30,M30)&lt;3),"×",
IF(AND(医療機器・サーモ・換気設備!AW36="◎",COUNTA(I30,K30,M30)=3),"○",
IF(AND(医療機器・サーモ・換気設備!AW36="○",COUNTA(I30,K30,M30)=0),"○",
IF(AND(医療機器・サーモ・換気設備!AW36="○",COUNTA(I30,K30,M30)&gt;=1,COUNTA(I30,K30,M30)&lt;3),"×",
IF(AND(医療機器・サーモ・換気設備!AW36="○",COUNTA(I30,K30,M30)=3),"×",
IF(AND(医療機器・サーモ・換気設備!AW36="×",COUNTA(I30,K30,M30)=0),"×",
IF(AND(医療機器・サーモ・換気設備!AW36="×",COUNTA(I30,K30,M30)&gt;=1,COUNTA(I30,K30,M30)&lt;3),"×",
IF(AND(医療機器・サーモ・換気設備!AW36="×",COUNTA(I30,K30,M30)=3),"×")))))))))</f>
        <v>○</v>
      </c>
      <c r="P30" s="329" t="str">
        <f xml:space="preserve">
IF(AND(医療機器・サーモ・換気設備!AW36="◎",COUNTA(I30,K30,M30)=0),"【要修正】経費計上されているので日付を入力してください。",
IF(AND(医療機器・サーモ・換気設備!AW36="◎",COUNTA(I30,K30,M30)&gt;=1,COUNTA(I30,K30,M30)&lt;3),"【要修正】最終納品日の日付の入力が不十分です。",
IF(AND(医療機器・サーモ・換気設備!AW36="◎",COUNTA(I30,K30,M30)=3),"適切に入力がされました。",
IF(AND(医療機器・サーモ・換気設備!AW36="○",COUNTA(I30,K30,M30)=0),"申請しない場合は入力不要です。",
IF(AND(医療機器・サーモ・換気設備!AW36="○",COUNTA(I30,K30,M30)&gt;=1,COUNTA(I30,K30,M30)&lt;3),"【要修正】経費情報を入力し、最終納品日の日付を全て入力してください。",
IF(AND(医療機器・サーモ・換気設備!AW36="○",COUNTA(I30,K30,M30)=3),"【要修正】経費情報が入力されていません。",
IF(AND(医療機器・サーモ・換気設備!AW36="×",COUNTA(I30,K30,M30)=0),"【要修正】経費情報が入力不十分、最終納品日の日付を入力してください。",
IF(AND(医療機器・サーモ・換気設備!AW36="×",COUNTA(I30,K30,M30)&gt;=1,COUNTA(I30,K30,M30)&lt;3),"【要修正】経費情報及び最終納品日の日付が入力不十分です。",
IF(AND(医療機器・サーモ・換気設備!AW36="×",COUNTA(I30,K30,M30)=3),"【要修正】経費情報が入力不十分です。")))))))))</f>
        <v>申請しない場合は入力不要です。</v>
      </c>
      <c r="Q30" s="330"/>
      <c r="R30" s="330"/>
      <c r="S30" s="330"/>
      <c r="T30" s="330"/>
      <c r="U30" s="330"/>
      <c r="V30" s="330"/>
      <c r="W30" s="330"/>
      <c r="X30" s="330"/>
      <c r="Y30" s="330"/>
      <c r="Z30" s="330"/>
      <c r="AA30" s="330"/>
      <c r="AB30" s="331"/>
      <c r="AC30" s="26"/>
      <c r="AD30" s="26"/>
      <c r="AE30" s="215" t="str">
        <f t="shared" si="1"/>
        <v/>
      </c>
      <c r="AF30" s="92"/>
    </row>
    <row r="31" spans="2:38" ht="150" customHeight="1" thickTop="1" thickBot="1" x14ac:dyDescent="0.45">
      <c r="B31" s="212" t="s">
        <v>117</v>
      </c>
      <c r="C31" s="401" t="s">
        <v>95</v>
      </c>
      <c r="D31" s="402"/>
      <c r="E31" s="402"/>
      <c r="F31" s="402"/>
      <c r="G31" s="402"/>
      <c r="H31" s="368"/>
      <c r="I31" s="369"/>
      <c r="J31" s="369"/>
      <c r="K31" s="369"/>
      <c r="L31" s="369"/>
      <c r="M31" s="369"/>
      <c r="N31" s="370"/>
      <c r="O31" s="206" t="str">
        <f>IF(H31=テーブル!C23,"○",IF(H31="","×",IF(H31=テーブル!C24,"×")))</f>
        <v>×</v>
      </c>
      <c r="P31" s="371" t="str">
        <f xml:space="preserve">
IF(H31=テーブル!C23,"適切に入力がされました。",
IF(H31="","【要修正】【下記いずれにも該当する場合、「申立てする」を選択してください。】
・補助を受ける経費について他の補助金等の交付を受けていないこと。
・外来対応医療機関として指定を受けてから少なくとも令和５年度中は指定継続の上、外来対応を行うこと。
・令和５年度中に外来対応医療機関の指定が解除された際、本補助金の交付申請を取り下げること。"&amp;"
・本補助金により整備した設備は新型コロナウイルス感染症対策の目的以外に使用しないこと。
・本補助金の収入、支出等に係る証拠書類を５年間適切に整備保管すること。
・暴力団員又は暴力団関係者と実質を含めいかなる関係も有していないこと。",
IF(H31=テーブル!C24,"【申請する場合は要修正】
申立事項に該当しない申請者に対して交付を行うことはできません。")))</f>
        <v>【要修正】【下記いずれにも該当する場合、「申立てする」を選択してください。】
・補助を受ける経費について他の補助金等の交付を受けていないこと。
・外来対応医療機関として指定を受けてから少なくとも令和５年度中は指定継続の上、外来対応を行うこと。
・令和５年度中に外来対応医療機関の指定が解除された際、本補助金の交付申請を取り下げること。
・本補助金により整備した設備は新型コロナウイルス感染症対策の目的以外に使用しないこと。
・本補助金の収入、支出等に係る証拠書類を５年間適切に整備保管すること。
・暴力団員又は暴力団関係者と実質を含めいかなる関係も有していないこと。</v>
      </c>
      <c r="Q31" s="372"/>
      <c r="R31" s="372"/>
      <c r="S31" s="372"/>
      <c r="T31" s="372"/>
      <c r="U31" s="372"/>
      <c r="V31" s="372"/>
      <c r="W31" s="372"/>
      <c r="X31" s="372"/>
      <c r="Y31" s="372"/>
      <c r="Z31" s="372"/>
      <c r="AA31" s="372"/>
      <c r="AB31" s="373"/>
      <c r="AC31" s="26"/>
      <c r="AD31" s="26"/>
      <c r="AE31" s="215" t="str">
        <f>IF(O31="○","","申立事項/")</f>
        <v>申立事項/</v>
      </c>
      <c r="AF31" s="46" t="s">
        <v>151</v>
      </c>
      <c r="AG31" s="76"/>
    </row>
    <row r="32" spans="2:38" ht="15" customHeight="1" thickTop="1" x14ac:dyDescent="0.4">
      <c r="B32" s="26"/>
      <c r="C32" s="34"/>
      <c r="D32" s="127"/>
      <c r="E32" s="127"/>
      <c r="F32" s="127"/>
      <c r="G32" s="127"/>
      <c r="H32" s="127"/>
      <c r="I32" s="35"/>
      <c r="J32" s="35"/>
      <c r="K32" s="35"/>
      <c r="L32" s="35"/>
      <c r="M32" s="35"/>
      <c r="N32" s="35"/>
      <c r="O32" s="127"/>
      <c r="P32" s="36"/>
      <c r="Q32" s="37"/>
      <c r="R32" s="37"/>
      <c r="S32" s="37"/>
      <c r="T32" s="37"/>
      <c r="U32" s="37"/>
      <c r="V32" s="37"/>
      <c r="W32" s="37"/>
      <c r="X32" s="26"/>
      <c r="Y32" s="26"/>
      <c r="Z32" s="26"/>
      <c r="AA32" s="26"/>
      <c r="AB32" s="26"/>
      <c r="AC32" s="26"/>
      <c r="AD32" s="26"/>
      <c r="AE32" s="38"/>
    </row>
    <row r="33" spans="2:32" ht="60" customHeight="1" x14ac:dyDescent="0.4">
      <c r="C33" s="39" t="s">
        <v>105</v>
      </c>
      <c r="D33" s="452" t="s">
        <v>73</v>
      </c>
      <c r="E33" s="453"/>
      <c r="F33" s="40" t="str">
        <f ca="1">IF(COUNTIF(O3:O31,"×")&gt;=1,"×","○")</f>
        <v>×</v>
      </c>
      <c r="G33" s="382" t="str">
        <f ca="1">IF(F33="○","適切に入力がされました。","【要修正】次の項目が適切に入力されているかご確認ください→"&amp;AE3&amp;AE6&amp;AE7&amp;AE8&amp;AE9&amp;AE10&amp;AE11&amp;AE12&amp;AE13&amp;AE14&amp;AE15&amp;AE16&amp;AE17&amp;AE18&amp;AE19&amp;AE20&amp;AE21&amp;AE22&amp;AE23&amp;AE24&amp;AE26&amp;AE27&amp;AE28&amp;AE29&amp;AE30&amp;AE31)</f>
        <v>【要修正】次の項目が適切に入力されているかご確認ください→法人・個人事業主の別/事業者名/代表者役職/代表者氏名/所在地/施設所在地/提出日/担当部署/担当者名/電話番号（担当直通）/Mailｱﾄﾞﾚｽ（担当直通）/申立事項/</v>
      </c>
      <c r="H33" s="382"/>
      <c r="I33" s="382"/>
      <c r="J33" s="382"/>
      <c r="K33" s="382"/>
      <c r="L33" s="382"/>
      <c r="M33" s="382"/>
      <c r="N33" s="382"/>
      <c r="O33" s="382"/>
      <c r="P33" s="382"/>
      <c r="Q33" s="383"/>
      <c r="R33" s="383"/>
      <c r="S33" s="383"/>
      <c r="T33" s="383"/>
      <c r="U33" s="383"/>
      <c r="V33" s="383"/>
      <c r="W33" s="383"/>
      <c r="X33" s="383"/>
      <c r="Y33" s="383"/>
      <c r="Z33" s="383"/>
      <c r="AA33" s="383"/>
      <c r="AB33" s="383"/>
      <c r="AF33" s="41" t="str">
        <f>IF(COUNTA(H6,H7,H8,H9,H12,H14,H15,H16,H17)=9,"○","×")</f>
        <v>×</v>
      </c>
    </row>
    <row r="34" spans="2:32" ht="15" customHeight="1" x14ac:dyDescent="0.4">
      <c r="C34" s="42"/>
      <c r="D34" s="34"/>
      <c r="E34" s="127"/>
      <c r="F34" s="127"/>
      <c r="G34" s="43"/>
      <c r="H34" s="43"/>
      <c r="I34" s="43"/>
      <c r="J34" s="43"/>
      <c r="K34" s="43"/>
      <c r="L34" s="43"/>
      <c r="M34" s="43"/>
      <c r="N34" s="43"/>
      <c r="O34" s="43"/>
      <c r="P34" s="43"/>
      <c r="Q34" s="26"/>
      <c r="R34" s="26"/>
      <c r="S34" s="26"/>
      <c r="T34" s="26"/>
      <c r="U34" s="26"/>
      <c r="V34" s="26"/>
      <c r="W34" s="26"/>
      <c r="X34" s="26"/>
      <c r="Y34" s="26"/>
      <c r="Z34" s="26"/>
      <c r="AA34" s="26"/>
      <c r="AB34" s="26"/>
      <c r="AE34" s="156" t="s">
        <v>306</v>
      </c>
      <c r="AF34" s="41"/>
    </row>
    <row r="35" spans="2:32" ht="120" customHeight="1" x14ac:dyDescent="0.4">
      <c r="C35" s="415" t="s">
        <v>148</v>
      </c>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row>
    <row r="36" spans="2:32" ht="20.100000000000001" customHeight="1" x14ac:dyDescent="0.4">
      <c r="C36" s="44"/>
      <c r="D36" s="45"/>
      <c r="E36" s="45"/>
      <c r="F36" s="45"/>
      <c r="G36" s="45"/>
      <c r="H36" s="45"/>
      <c r="I36" s="45"/>
      <c r="J36" s="45"/>
      <c r="K36" s="45"/>
      <c r="L36" s="45"/>
      <c r="M36" s="45"/>
      <c r="N36" s="45"/>
      <c r="O36" s="45"/>
      <c r="P36" s="45"/>
      <c r="Q36" s="45"/>
      <c r="R36" s="45"/>
      <c r="S36" s="45"/>
      <c r="T36" s="45"/>
      <c r="U36" s="45"/>
      <c r="V36" s="45"/>
      <c r="W36" s="45"/>
      <c r="X36" s="45"/>
      <c r="Y36" s="45"/>
      <c r="Z36" s="45"/>
      <c r="AA36" s="45"/>
      <c r="AB36" s="45"/>
    </row>
    <row r="37" spans="2:32" ht="39.950000000000003" customHeight="1" x14ac:dyDescent="0.4">
      <c r="C37" s="44"/>
      <c r="D37" s="374" t="s">
        <v>93</v>
      </c>
      <c r="E37" s="375"/>
      <c r="F37" s="40" t="str">
        <f ca="1">IF(COUNTIF(O40:O48,"×")&gt;=1,"×","○")</f>
        <v>×</v>
      </c>
      <c r="G37" s="376" t="str">
        <f ca="1">IF(F37="○","適切に入力がされました。","【要修正】次の様式が適切に入力されているかご確認ください→"&amp;AE40&amp;AE41&amp;AE42&amp;AE43&amp;AE44&amp;AE45&amp;AE46&amp;AE47&amp;AE48)&amp;IF(COUNTIF(O47:O47,"○")=3,"明細シートがいずれも入力されていません。","")</f>
        <v>【要修正】次の様式が適切に入力されているかご確認ください→はじめに入力してください/様式１（表紙）/様式１－２（額内訳書）/基本情報/</v>
      </c>
      <c r="H37" s="377"/>
      <c r="I37" s="377"/>
      <c r="J37" s="377"/>
      <c r="K37" s="377"/>
      <c r="L37" s="377"/>
      <c r="M37" s="377"/>
      <c r="N37" s="377"/>
      <c r="O37" s="377"/>
      <c r="P37" s="377"/>
      <c r="Q37" s="377"/>
      <c r="R37" s="377"/>
      <c r="S37" s="377"/>
      <c r="T37" s="377"/>
      <c r="U37" s="377"/>
      <c r="V37" s="377"/>
      <c r="W37" s="377"/>
      <c r="X37" s="377"/>
      <c r="Y37" s="377"/>
      <c r="Z37" s="377"/>
      <c r="AA37" s="377"/>
      <c r="AB37" s="378"/>
    </row>
    <row r="38" spans="2:32" ht="20.100000000000001" customHeight="1" x14ac:dyDescent="0.4">
      <c r="C38" s="44"/>
      <c r="D38" s="45"/>
      <c r="E38" s="45"/>
      <c r="F38" s="45"/>
      <c r="G38" s="45"/>
      <c r="H38" s="45"/>
      <c r="I38" s="45"/>
      <c r="J38" s="45"/>
      <c r="K38" s="45"/>
      <c r="L38" s="45"/>
      <c r="M38" s="45"/>
      <c r="N38" s="45"/>
      <c r="O38" s="45"/>
      <c r="P38" s="45"/>
      <c r="Q38" s="45"/>
      <c r="R38" s="45"/>
      <c r="S38" s="45"/>
      <c r="T38" s="45"/>
      <c r="U38" s="45"/>
      <c r="V38" s="45"/>
      <c r="W38" s="45"/>
      <c r="X38" s="45"/>
      <c r="Y38" s="45"/>
      <c r="Z38" s="45"/>
      <c r="AA38" s="45"/>
      <c r="AB38" s="45"/>
    </row>
    <row r="39" spans="2:32" ht="39.950000000000003" customHeight="1" x14ac:dyDescent="0.4">
      <c r="B39" s="42"/>
      <c r="C39" s="396" t="s">
        <v>87</v>
      </c>
      <c r="D39" s="397"/>
      <c r="E39" s="397"/>
      <c r="F39" s="397"/>
      <c r="G39" s="397"/>
      <c r="H39" s="397"/>
      <c r="I39" s="374" t="s">
        <v>91</v>
      </c>
      <c r="J39" s="391"/>
      <c r="K39" s="391"/>
      <c r="L39" s="391"/>
      <c r="M39" s="391"/>
      <c r="N39" s="392"/>
      <c r="O39" s="46" t="s">
        <v>72</v>
      </c>
      <c r="P39" s="388" t="s">
        <v>74</v>
      </c>
      <c r="Q39" s="389"/>
      <c r="R39" s="389"/>
      <c r="S39" s="389"/>
      <c r="T39" s="389"/>
      <c r="U39" s="389"/>
      <c r="V39" s="389"/>
      <c r="W39" s="389"/>
      <c r="X39" s="389"/>
      <c r="Y39" s="389"/>
      <c r="Z39" s="389"/>
      <c r="AA39" s="389"/>
      <c r="AB39" s="390"/>
      <c r="AC39" s="42"/>
      <c r="AD39" s="42"/>
    </row>
    <row r="40" spans="2:32" ht="63" customHeight="1" x14ac:dyDescent="0.4">
      <c r="B40" s="42"/>
      <c r="C40" s="384" t="s">
        <v>88</v>
      </c>
      <c r="D40" s="385"/>
      <c r="E40" s="385"/>
      <c r="F40" s="385"/>
      <c r="G40" s="385"/>
      <c r="H40" s="385"/>
      <c r="I40" s="393" t="s">
        <v>89</v>
      </c>
      <c r="J40" s="394"/>
      <c r="K40" s="394"/>
      <c r="L40" s="394"/>
      <c r="M40" s="394"/>
      <c r="N40" s="395"/>
      <c r="O40" s="29" t="str">
        <f ca="1">F33</f>
        <v>×</v>
      </c>
      <c r="P40" s="376" t="str">
        <f ca="1">G33</f>
        <v>【要修正】次の項目が適切に入力されているかご確認ください→法人・個人事業主の別/事業者名/代表者役職/代表者氏名/所在地/施設所在地/提出日/担当部署/担当者名/電話番号（担当直通）/Mailｱﾄﾞﾚｽ（担当直通）/申立事項/</v>
      </c>
      <c r="Q40" s="386"/>
      <c r="R40" s="386"/>
      <c r="S40" s="386"/>
      <c r="T40" s="386"/>
      <c r="U40" s="386"/>
      <c r="V40" s="386"/>
      <c r="W40" s="386"/>
      <c r="X40" s="386"/>
      <c r="Y40" s="386"/>
      <c r="Z40" s="386"/>
      <c r="AA40" s="386"/>
      <c r="AB40" s="387"/>
      <c r="AC40" s="42"/>
      <c r="AD40" s="42"/>
      <c r="AE40" s="215" t="str">
        <f ca="1">IF(O40="×",C40&amp;"/","")</f>
        <v>はじめに入力してください/</v>
      </c>
    </row>
    <row r="41" spans="2:32" ht="39.950000000000003" customHeight="1" x14ac:dyDescent="0.4">
      <c r="B41" s="42"/>
      <c r="C41" s="384" t="str">
        <f xml:space="preserve">
IF(OR(テーブル!B3="事前協議",テーブル!B3="交付申請兼実績報告書",テーブル!B3="交付申請",テーブル!B3="交付申請（２次以降）"),"様式１（表紙）",
IF(テーブル!B3="変更申請","様式２（表紙）",
IF(テーブル!B3="実績報告","様式３（表紙）")))</f>
        <v>様式１（表紙）</v>
      </c>
      <c r="D41" s="385"/>
      <c r="E41" s="385"/>
      <c r="F41" s="385"/>
      <c r="G41" s="385"/>
      <c r="H41" s="385"/>
      <c r="I41" s="393" t="s">
        <v>89</v>
      </c>
      <c r="J41" s="394"/>
      <c r="K41" s="394"/>
      <c r="L41" s="394"/>
      <c r="M41" s="394"/>
      <c r="N41" s="395"/>
      <c r="O41" s="29" t="str">
        <f ca="1">O40</f>
        <v>×</v>
      </c>
      <c r="P41" s="376" t="str">
        <f ca="1">IF(O41="×","【要修正】様式１は入力項目がありませんが、「はじめに入力してください」が適切に入力されていないため正しく表示できていません。","適切に入力がされました。")</f>
        <v>【要修正】様式１は入力項目がありませんが、「はじめに入力してください」が適切に入力されていないため正しく表示できていません。</v>
      </c>
      <c r="Q41" s="386"/>
      <c r="R41" s="386"/>
      <c r="S41" s="386"/>
      <c r="T41" s="386"/>
      <c r="U41" s="386"/>
      <c r="V41" s="386"/>
      <c r="W41" s="386"/>
      <c r="X41" s="386"/>
      <c r="Y41" s="386"/>
      <c r="Z41" s="386"/>
      <c r="AA41" s="386"/>
      <c r="AB41" s="387"/>
      <c r="AC41" s="42"/>
      <c r="AD41" s="42"/>
      <c r="AE41" s="215" t="str">
        <f t="shared" ref="AE41:AE48" ca="1" si="3">IF(O41="×",C41&amp;"/","")</f>
        <v>様式１（表紙）/</v>
      </c>
    </row>
    <row r="42" spans="2:32" ht="39.950000000000003" customHeight="1" x14ac:dyDescent="0.4">
      <c r="B42" s="42"/>
      <c r="C42" s="382" t="str">
        <f xml:space="preserve">
IF(OR(テーブル!B3="事前協議",テーブル!B3="交付申請兼実績報告書",テーブル!B3="交付申請",テーブル!B3="交付申請（２次以降）"),"様式１－１（経費書）",
IF(テーブル!B3="変更申請","様式１－１（経費書）",
IF(テーブル!B3="実績報告","様式３－１（経費書）")))</f>
        <v>様式１－１（経費書）</v>
      </c>
      <c r="D42" s="385"/>
      <c r="E42" s="385"/>
      <c r="F42" s="385"/>
      <c r="G42" s="385"/>
      <c r="H42" s="385"/>
      <c r="I42" s="393" t="s">
        <v>89</v>
      </c>
      <c r="J42" s="394"/>
      <c r="K42" s="394"/>
      <c r="L42" s="394"/>
      <c r="M42" s="394"/>
      <c r="N42" s="395"/>
      <c r="O42" s="29" t="s">
        <v>85</v>
      </c>
      <c r="P42" s="376" t="s">
        <v>92</v>
      </c>
      <c r="Q42" s="386"/>
      <c r="R42" s="386"/>
      <c r="S42" s="386"/>
      <c r="T42" s="386"/>
      <c r="U42" s="386"/>
      <c r="V42" s="386"/>
      <c r="W42" s="386"/>
      <c r="X42" s="386"/>
      <c r="Y42" s="386"/>
      <c r="Z42" s="386"/>
      <c r="AA42" s="386"/>
      <c r="AB42" s="387"/>
      <c r="AC42" s="42"/>
      <c r="AD42" s="42"/>
      <c r="AE42" s="215" t="str">
        <f t="shared" si="3"/>
        <v/>
      </c>
    </row>
    <row r="43" spans="2:32" ht="60" customHeight="1" x14ac:dyDescent="0.4">
      <c r="B43" s="42"/>
      <c r="C43" s="382" t="str">
        <f xml:space="preserve">
IF(OR(テーブル!B3="事前協議",テーブル!B3="交付申請兼実績報告書",テーブル!B3="交付申請",テーブル!B3="交付申請（２次以降）"),"様式１－２（額内訳書）",
IF(テーブル!B3="変更申請","様式１－２（額内訳書）",
IF(テーブル!B3="実績報告","様式３－２（額内訳書）")))</f>
        <v>様式１－２（額内訳書）</v>
      </c>
      <c r="D43" s="385"/>
      <c r="E43" s="385"/>
      <c r="F43" s="385"/>
      <c r="G43" s="385"/>
      <c r="H43" s="385"/>
      <c r="I43" s="393" t="s">
        <v>89</v>
      </c>
      <c r="J43" s="394"/>
      <c r="K43" s="394"/>
      <c r="L43" s="394"/>
      <c r="M43" s="394"/>
      <c r="N43" s="395"/>
      <c r="O43" s="29" t="str">
        <f ca="1">O40</f>
        <v>×</v>
      </c>
      <c r="P43" s="454" t="str">
        <f ca="1">IF(O41="×","【要修正】様式１－２は入力項目がありませんが、「はじめに入力してください」が適切に入力されていないため正しく表示できていません。","適切に入力がされました。")</f>
        <v>【要修正】様式１－２は入力項目がありませんが、「はじめに入力してください」が適切に入力されていないため正しく表示できていません。</v>
      </c>
      <c r="Q43" s="455"/>
      <c r="R43" s="455"/>
      <c r="S43" s="455"/>
      <c r="T43" s="455"/>
      <c r="U43" s="455"/>
      <c r="V43" s="455"/>
      <c r="W43" s="455"/>
      <c r="X43" s="455"/>
      <c r="Y43" s="455"/>
      <c r="Z43" s="455"/>
      <c r="AA43" s="455"/>
      <c r="AB43" s="456"/>
      <c r="AC43" s="42"/>
      <c r="AD43" s="42"/>
      <c r="AE43" s="215" t="str">
        <f t="shared" ca="1" si="3"/>
        <v>様式１－２（額内訳書）/</v>
      </c>
    </row>
    <row r="44" spans="2:32" ht="147.94999999999999" customHeight="1" x14ac:dyDescent="0.4">
      <c r="B44" s="42"/>
      <c r="C44" s="398" t="s">
        <v>248</v>
      </c>
      <c r="D44" s="399"/>
      <c r="E44" s="399"/>
      <c r="F44" s="399"/>
      <c r="G44" s="399"/>
      <c r="H44" s="400"/>
      <c r="I44" s="393" t="s">
        <v>89</v>
      </c>
      <c r="J44" s="394"/>
      <c r="K44" s="394"/>
      <c r="L44" s="394"/>
      <c r="M44" s="394"/>
      <c r="N44" s="395"/>
      <c r="O44" s="29" t="str">
        <f>基本情報!AE1</f>
        <v>×</v>
      </c>
      <c r="P44" s="376" t="str">
        <f>"助成申請をする場合、「１．診療日」、「２．診療体制」、「３．外来対応実績」及び「４.  診療及び検査の実施手順」いずれも適切に入力されていることが必要です。"&amp;CHAR(10)&amp;"申請する場合、それぞれの項目が未入力、入力不十分となっていないかご確認ください。"&amp;CHAR(10)&amp;
"☆【総合判定】"&amp;基本情報!AE1
&amp;CHAR(10)&amp;
IF(基本情報!AJ5="×","・「１．診療日」：【要修正】入力が不十分です。",
IF(基本情報!AJ5="○","・「１．診療日」：適切に入力がされました。"))
&amp;CHAR(10)&amp;
IF(基本情報!AJ15="×","・「２．診療体制」：【要修正】入力が不十分です。",
IF(基本情報!AJ15="○","・「２．診療体制」：適切に入力がされました。"))
&amp;CHAR(10)&amp;
IF(基本情報!AJ40="×","・「３．外来対応実績」：【要修正】入力が不十分です。",
IF(基本情報!AJ40="○","・「３．外来対応実績 」：適切に入力がされました。"))
&amp;CHAR(10)&amp;
IF(基本情報!AJ48="×","・「４．診療及び検査の実施手順」：【要修正】入力が不十分な列があるため、シートを再度ご確認ください。",
IF(基本情報!AJ48="○","・「４．診療及び検査の実施手順」：適切に入力がされました。"
))</f>
        <v>助成申請をする場合、「１．診療日」、「２．診療体制」、「３．外来対応実績」及び「４.  診療及び検査の実施手順」いずれも適切に入力されていることが必要です。
申請する場合、それぞれの項目が未入力、入力不十分となっていないかご確認ください。
☆【総合判定】×
・「１．診療日」：【要修正】入力が不十分です。
・「２．診療体制」：【要修正】入力が不十分です。
・「３．外来対応実績」：【要修正】入力が不十分です。
・「４．診療及び検査の実施手順」：【要修正】入力が不十分な列があるため、シートを再度ご確認ください。</v>
      </c>
      <c r="Q44" s="386"/>
      <c r="R44" s="386"/>
      <c r="S44" s="386"/>
      <c r="T44" s="386"/>
      <c r="U44" s="386"/>
      <c r="V44" s="386"/>
      <c r="W44" s="386"/>
      <c r="X44" s="386"/>
      <c r="Y44" s="386"/>
      <c r="Z44" s="386"/>
      <c r="AA44" s="386"/>
      <c r="AB44" s="387"/>
      <c r="AC44" s="42"/>
      <c r="AD44" s="42"/>
      <c r="AE44" s="215" t="str">
        <f t="shared" si="3"/>
        <v>基本情報/</v>
      </c>
    </row>
    <row r="45" spans="2:32" ht="142.35" customHeight="1" x14ac:dyDescent="0.4">
      <c r="B45" s="42"/>
      <c r="C45" s="398" t="s">
        <v>249</v>
      </c>
      <c r="D45" s="399"/>
      <c r="E45" s="399"/>
      <c r="F45" s="399"/>
      <c r="G45" s="399"/>
      <c r="H45" s="400"/>
      <c r="I45" s="464" t="s">
        <v>251</v>
      </c>
      <c r="J45" s="394"/>
      <c r="K45" s="394"/>
      <c r="L45" s="394"/>
      <c r="M45" s="394"/>
      <c r="N45" s="467"/>
      <c r="O45" s="29" t="str">
        <f ca="1">看板!AZ2</f>
        <v>○</v>
      </c>
      <c r="P45" s="376" t="str">
        <f ca="1">"看板設置料の助成申請をする場合、「１．寸法内訳」及び「２．経費等内訳」いずれも適切に入力されていることが必要です。"&amp;CHAR(10)&amp;"申請する場合、それぞれの項目が未入力、入力不十分となっていないかご確認ください。"&amp;CHAR(10)&amp;
"☆【総合判定】"&amp;看板!AZ2
&amp;CHAR(10)&amp;
IF(看板!Z30="×","・「１．寸法内訳（道路看板）」(１種類目)：【要修正】入力が不十分です。",
IF(看板!Z30="○","・「１．寸法内訳（道路看板）」(１種類目)：入力なし",
IF(看板!Z30="◎","・「１．寸法内訳（道路看板）」(１種類目)：適切に入力がされました。")))
&amp;CHAR(10)&amp;
IF(看板!Z42="×","・「１．寸法内訳（道路看板）」(２種類目)：【要修正】入力が不十分です。",
IF(看板!Z42="○","・「１．寸法内訳（道路看板）」(２種類目)：入力なし",
IF(看板!Z42="◎","・「１．寸法内訳（道路看板）」(２種類目)：適切に入力がされました。")))
&amp;CHAR(10)&amp;
IF(看板!Z55="×","・「１．寸法内訳（電柱広告）」：【要修正】入力が不十分です。",
IF(看板!Z55="○","・「１．寸法内訳（電柱広告）」：入力なし",
IF(看板!Z55="◎","・「１．寸法内訳（電柱広告）」：適切に入力がされました。")))
&amp;CHAR(10)&amp;
IF(看板!Z67="×","・「１．寸法内訳（敷地内看板）」：【要修正】入力が不十分です。",
IF(看板!Z67="○","・「１．寸法内訳（敷地内看板）」：入力なし",
IF(看板!Z67="◎","・「１．寸法内訳（敷地内看板）」：適切に入力がされました。")))
&amp;CHAR(10)&amp;
IF(看板!AH85="×","・「２．経費等内訳」：【要修正】入力が不十分な行があるため、シートを再度ご確認ください。",
IF(看板!AH85="○","・「２．経費等内訳」：入力なし",
IF(看板!AH85="◎","・「２．経費等内訳」：適切に入力がされました。")))</f>
        <v>看板設置料の助成申請をする場合、「１．寸法内訳」及び「２．経費等内訳」いずれも適切に入力されていることが必要です。
申請する場合、それぞれの項目が未入力、入力不十分となっていないかご確認ください。
☆【総合判定】○
・「１．寸法内訳（道路看板）」(１種類目)：入力なし
・「１．寸法内訳（道路看板）」(２種類目)：入力なし
・「１．寸法内訳（電柱広告）」：入力なし
・「１．寸法内訳（敷地内看板）」：入力なし
・「２．経費等内訳」：入力なし</v>
      </c>
      <c r="Q45" s="386"/>
      <c r="R45" s="386"/>
      <c r="S45" s="386"/>
      <c r="T45" s="386"/>
      <c r="U45" s="386"/>
      <c r="V45" s="386"/>
      <c r="W45" s="386"/>
      <c r="X45" s="386"/>
      <c r="Y45" s="386"/>
      <c r="Z45" s="386"/>
      <c r="AA45" s="386"/>
      <c r="AB45" s="387"/>
      <c r="AC45" s="42"/>
      <c r="AD45" s="42"/>
      <c r="AE45" s="215" t="str">
        <f t="shared" ca="1" si="3"/>
        <v/>
      </c>
    </row>
    <row r="46" spans="2:32" ht="112.35" customHeight="1" x14ac:dyDescent="0.4">
      <c r="B46" s="42"/>
      <c r="C46" s="398" t="s">
        <v>250</v>
      </c>
      <c r="D46" s="399"/>
      <c r="E46" s="399"/>
      <c r="F46" s="399"/>
      <c r="G46" s="399"/>
      <c r="H46" s="400"/>
      <c r="I46" s="464" t="s">
        <v>252</v>
      </c>
      <c r="J46" s="465"/>
      <c r="K46" s="465"/>
      <c r="L46" s="465"/>
      <c r="M46" s="465"/>
      <c r="N46" s="466"/>
      <c r="O46" s="29" t="str">
        <f>HP!AZ4</f>
        <v>○</v>
      </c>
      <c r="P46" s="376" t="str">
        <f>"ホームページ改修費の助成申請をする場合、「１．寸法内訳」及び「２．経費等内訳」いずれも適切に入力されていることが必要です。"&amp;CHAR(10)&amp;"申請する場合、それぞれの項目が未入力、入力不十分となっていないかご確認ください。"&amp;CHAR(10)&amp;
"☆【総合判定】"&amp;HP!AZ4
&amp;CHAR(10)&amp;
IF(HP!AW23="×","・「１．寸法内訳」：【要修正】入力が不十分です。",
IF(HP!AW23="○","・「１．寸法内訳」：入力なし",
IF(HP!AW23="◎","・「１．寸法内訳」：適切に入力がされました。")))
&amp;CHAR(10)&amp;
IF(HP!J35="×","・「２．経費等内訳」：【要修正】入力が不十分な行があるため、シートを再度ご確認ください。",
IF(HP!J35="○","・「２．経費等内訳」：入力なし",
IF(HP!J35="◎","・「２．経費等内訳」：適切に入力がされました。")))</f>
        <v>ホームページ改修費の助成申請をする場合、「１．寸法内訳」及び「２．経費等内訳」いずれも適切に入力されていることが必要です。
申請する場合、それぞれの項目が未入力、入力不十分となっていないかご確認ください。
☆【総合判定】○
・「１．寸法内訳」：入力なし
・「２．経費等内訳」：入力なし</v>
      </c>
      <c r="Q46" s="386"/>
      <c r="R46" s="386"/>
      <c r="S46" s="386"/>
      <c r="T46" s="386"/>
      <c r="U46" s="386"/>
      <c r="V46" s="386"/>
      <c r="W46" s="386"/>
      <c r="X46" s="386"/>
      <c r="Y46" s="386"/>
      <c r="Z46" s="386"/>
      <c r="AA46" s="386"/>
      <c r="AB46" s="387"/>
      <c r="AC46" s="42"/>
      <c r="AD46" s="42"/>
      <c r="AE46" s="215" t="str">
        <f t="shared" si="3"/>
        <v/>
      </c>
    </row>
    <row r="47" spans="2:32" ht="143.65" customHeight="1" x14ac:dyDescent="0.4">
      <c r="B47" s="42"/>
      <c r="C47" s="322" t="s">
        <v>370</v>
      </c>
      <c r="D47" s="323"/>
      <c r="E47" s="323"/>
      <c r="F47" s="323"/>
      <c r="G47" s="323"/>
      <c r="H47" s="458"/>
      <c r="I47" s="459" t="s">
        <v>369</v>
      </c>
      <c r="J47" s="460"/>
      <c r="K47" s="460"/>
      <c r="L47" s="460"/>
      <c r="M47" s="460"/>
      <c r="N47" s="461"/>
      <c r="O47" s="29" t="str">
        <f>医療機器・サーモ・換気設備!AX2</f>
        <v>○</v>
      </c>
      <c r="P47" s="376" t="str">
        <f>"医療機器、サーモグラフィーカメラ及び換気設備について助成申請する場合、それぞれの必要記載事項がいずれも適切に入力されていることが必要です。"&amp;CHAR(10)&amp;"申請する場合、それぞれの項目が未入力、入力不十分となっていないかご確認ください。"&amp;CHAR(10)&amp;
"☆【総合判定】"&amp;医療機器・サーモ・換気設備!AX2&amp;
IF(医療機器・サーモ・換気設備!AX2="○","（申請しない場合は入力不要です。）",
IF(医療機器・サーモ・換気設備!AX2="×","（【要修正】入力が不十分な箇所があります。申請しない場合は全ての欄を空欄にしてください。）",
IF(医療機器・サーモ・換気設備!AX2="◎","（適切に入力がされました。）")))
&amp;CHAR(10)&amp;
"【医療機器】判定："&amp;医療機器・サーモ・換気設備!AW2&amp;
IF(医療機器・サーモ・換気設備!AW2="○","（申請しない場合は入力不要です。）",
IF(医療機器・サーモ・換気設備!AW2="×","（【要修正】入力が不十分な箇所があります。申請しない場合は全ての欄を空欄にしてください。）",
IF(医療機器・サーモ・換気設備!AW2="◎","（適切に入力がされました。）")))
&amp;CHAR(10)&amp;
"【サーモグラフィーカメラ】判定："&amp;医療機器・サーモ・換気設備!AW3&amp;
IF(医療機器・サーモ・換気設備!AW3="○","（申請しない場合は入力不要です。）",
IF(医療機器・サーモ・換気設備!AW3="×","（【要修正】入力が不十分な箇所があります。申請しない場合は全ての欄を空欄にしてください。）",
IF(医療機器・サーモ・換気設備!AW3="◎","（適切に入力がされました。）")))
&amp;CHAR(10)&amp;
"【換気設備】判定："&amp;医療機器・サーモ・換気設備!AW4&amp;
IF(医療機器・サーモ・換気設備!AW4="○","（申請しない場合は入力不要です。）",
IF(医療機器・サーモ・換気設備!AW4="×","（【要修正】入力が不十分な箇所があります。申請しない場合は全ての欄を空欄にしてください。）",
IF(医療機器・サーモ・換気設備!AW4="◎","（適切に入力がされました。）")))</f>
        <v>医療機器、サーモグラフィーカメラ及び換気設備について助成申請する場合、それぞれの必要記載事項がいずれも適切に入力されていることが必要です。
申請する場合、それぞれの項目が未入力、入力不十分となっていないかご確認ください。
☆【総合判定】○（申請しない場合は入力不要です。）
【医療機器】判定：○（申請しない場合は入力不要です。）
【サーモグラフィーカメラ】判定：○（申請しない場合は入力不要です。）
【換気設備】判定：○（申請しない場合は入力不要です。）</v>
      </c>
      <c r="Q47" s="462"/>
      <c r="R47" s="462"/>
      <c r="S47" s="462"/>
      <c r="T47" s="462"/>
      <c r="U47" s="462"/>
      <c r="V47" s="462"/>
      <c r="W47" s="462"/>
      <c r="X47" s="462"/>
      <c r="Y47" s="462"/>
      <c r="Z47" s="462"/>
      <c r="AA47" s="462"/>
      <c r="AB47" s="463"/>
      <c r="AC47" s="42"/>
      <c r="AD47" s="42"/>
      <c r="AE47" s="215" t="str">
        <f t="shared" si="3"/>
        <v/>
      </c>
    </row>
    <row r="48" spans="2:32" ht="39.950000000000003" customHeight="1" x14ac:dyDescent="0.4">
      <c r="B48" s="42"/>
      <c r="C48" s="382" t="str">
        <f xml:space="preserve">
IF(OR(テーブル!B3="事前協議",テーブル!B3="交付申請",テーブル!B3="交付申請（２次以降）"),"様式１－３（歳入歳出予算書抄本）",
IF(テーブル!B3="変更申請","様式１－３（歳入歳出予算書抄本）",
IF(テーブル!B3="交付申請兼実績報告書","様式１－３（歳入歳出決算書（見込書）抄本）",
IF(テーブル!B3="実績報告","様式３－３"&amp;CHAR(10)&amp;"（歳入歳出決算書（見込書）抄本）"))))</f>
        <v>様式１－３（歳入歳出予算書抄本）</v>
      </c>
      <c r="D48" s="457"/>
      <c r="E48" s="457"/>
      <c r="F48" s="457"/>
      <c r="G48" s="457"/>
      <c r="H48" s="457"/>
      <c r="I48" s="342" t="s">
        <v>90</v>
      </c>
      <c r="J48" s="451"/>
      <c r="K48" s="451"/>
      <c r="L48" s="451"/>
      <c r="M48" s="451"/>
      <c r="N48" s="392"/>
      <c r="O48" s="29" t="str">
        <f>歳入歳出抄本!Y11</f>
        <v>○</v>
      </c>
      <c r="P48" s="376" t="str">
        <f>歳入歳出抄本!Z11</f>
        <v>公立機関ではない場合、作成不要です。
（入力されていても特段問題はありません。）</v>
      </c>
      <c r="Q48" s="377"/>
      <c r="R48" s="377"/>
      <c r="S48" s="377"/>
      <c r="T48" s="377"/>
      <c r="U48" s="377"/>
      <c r="V48" s="377"/>
      <c r="W48" s="377"/>
      <c r="X48" s="377"/>
      <c r="Y48" s="377"/>
      <c r="Z48" s="377"/>
      <c r="AA48" s="377"/>
      <c r="AB48" s="378"/>
      <c r="AC48" s="42"/>
      <c r="AD48" s="42"/>
      <c r="AE48" s="215" t="str">
        <f t="shared" si="3"/>
        <v/>
      </c>
    </row>
    <row r="49" spans="39:39" x14ac:dyDescent="0.4">
      <c r="AM49" s="27">
        <v>1</v>
      </c>
    </row>
    <row r="50" spans="39:39" x14ac:dyDescent="0.4">
      <c r="AM50" s="27">
        <v>2</v>
      </c>
    </row>
    <row r="51" spans="39:39" x14ac:dyDescent="0.4">
      <c r="AM51" s="27">
        <v>3</v>
      </c>
    </row>
    <row r="52" spans="39:39" x14ac:dyDescent="0.4">
      <c r="AM52" s="27">
        <v>4</v>
      </c>
    </row>
    <row r="53" spans="39:39" x14ac:dyDescent="0.4">
      <c r="AM53" s="27">
        <v>5</v>
      </c>
    </row>
    <row r="54" spans="39:39" x14ac:dyDescent="0.4">
      <c r="AM54" s="27">
        <v>6</v>
      </c>
    </row>
    <row r="55" spans="39:39" x14ac:dyDescent="0.4">
      <c r="AM55" s="27">
        <v>7</v>
      </c>
    </row>
    <row r="56" spans="39:39" x14ac:dyDescent="0.4">
      <c r="AM56" s="27">
        <v>8</v>
      </c>
    </row>
    <row r="57" spans="39:39" x14ac:dyDescent="0.4">
      <c r="AM57" s="27">
        <v>9</v>
      </c>
    </row>
    <row r="58" spans="39:39" x14ac:dyDescent="0.4">
      <c r="AM58" s="27">
        <v>10</v>
      </c>
    </row>
    <row r="59" spans="39:39" x14ac:dyDescent="0.4">
      <c r="AM59" s="27">
        <v>11</v>
      </c>
    </row>
    <row r="60" spans="39:39" x14ac:dyDescent="0.4">
      <c r="AM60" s="27">
        <v>12</v>
      </c>
    </row>
    <row r="61" spans="39:39" x14ac:dyDescent="0.4">
      <c r="AM61" s="27">
        <v>13</v>
      </c>
    </row>
    <row r="62" spans="39:39" x14ac:dyDescent="0.4">
      <c r="AM62" s="27">
        <v>14</v>
      </c>
    </row>
    <row r="63" spans="39:39" x14ac:dyDescent="0.4">
      <c r="AM63" s="27">
        <v>15</v>
      </c>
    </row>
    <row r="64" spans="39:39" x14ac:dyDescent="0.4">
      <c r="AM64" s="27">
        <v>16</v>
      </c>
    </row>
    <row r="65" spans="39:39" x14ac:dyDescent="0.4">
      <c r="AM65" s="27">
        <v>17</v>
      </c>
    </row>
    <row r="66" spans="39:39" x14ac:dyDescent="0.4">
      <c r="AM66" s="27">
        <v>18</v>
      </c>
    </row>
    <row r="67" spans="39:39" x14ac:dyDescent="0.4">
      <c r="AM67" s="27">
        <v>19</v>
      </c>
    </row>
    <row r="68" spans="39:39" x14ac:dyDescent="0.4">
      <c r="AM68" s="27">
        <v>20</v>
      </c>
    </row>
    <row r="69" spans="39:39" x14ac:dyDescent="0.4">
      <c r="AM69" s="27">
        <v>21</v>
      </c>
    </row>
    <row r="70" spans="39:39" x14ac:dyDescent="0.4">
      <c r="AM70" s="27">
        <v>22</v>
      </c>
    </row>
    <row r="71" spans="39:39" x14ac:dyDescent="0.4">
      <c r="AM71" s="27">
        <v>23</v>
      </c>
    </row>
    <row r="72" spans="39:39" x14ac:dyDescent="0.4">
      <c r="AM72" s="27">
        <v>24</v>
      </c>
    </row>
    <row r="73" spans="39:39" x14ac:dyDescent="0.4">
      <c r="AM73" s="27">
        <v>25</v>
      </c>
    </row>
    <row r="74" spans="39:39" x14ac:dyDescent="0.4">
      <c r="AM74" s="27">
        <v>26</v>
      </c>
    </row>
    <row r="75" spans="39:39" x14ac:dyDescent="0.4">
      <c r="AM75" s="27">
        <v>27</v>
      </c>
    </row>
    <row r="76" spans="39:39" x14ac:dyDescent="0.4">
      <c r="AM76" s="27">
        <v>28</v>
      </c>
    </row>
    <row r="77" spans="39:39" x14ac:dyDescent="0.4">
      <c r="AM77" s="27">
        <v>29</v>
      </c>
    </row>
    <row r="78" spans="39:39" x14ac:dyDescent="0.4">
      <c r="AM78" s="27">
        <v>30</v>
      </c>
    </row>
    <row r="79" spans="39:39" x14ac:dyDescent="0.4">
      <c r="AM79" s="27">
        <v>31</v>
      </c>
    </row>
  </sheetData>
  <sheetProtection algorithmName="SHA-512" hashValue="NCdpAPKczmtbiTF1tIImAKjoPuvk4W4cX19Yjd0VP7uTJpKwyJvyWAbMuKJ8SogDeZSZCWNL+GZHqLilpKtgKQ==" saltValue="l1Ra0db6GtHvJqe0rdjE+Q==" spinCount="100000" sheet="1" objects="1" scenarios="1"/>
  <mergeCells count="123">
    <mergeCell ref="B3:B17"/>
    <mergeCell ref="B18:B24"/>
    <mergeCell ref="C22:G22"/>
    <mergeCell ref="I22:N22"/>
    <mergeCell ref="P22:AB22"/>
    <mergeCell ref="C23:G23"/>
    <mergeCell ref="P23:AB23"/>
    <mergeCell ref="P2:AB2"/>
    <mergeCell ref="H5:N5"/>
    <mergeCell ref="H6:N6"/>
    <mergeCell ref="H11:N11"/>
    <mergeCell ref="H4:N4"/>
    <mergeCell ref="O3:O5"/>
    <mergeCell ref="P13:AB13"/>
    <mergeCell ref="P12:AB12"/>
    <mergeCell ref="P11:AB11"/>
    <mergeCell ref="H13:N13"/>
    <mergeCell ref="C16:G16"/>
    <mergeCell ref="C21:G21"/>
    <mergeCell ref="P20:AB20"/>
    <mergeCell ref="H7:N7"/>
    <mergeCell ref="C18:G18"/>
    <mergeCell ref="I48:N48"/>
    <mergeCell ref="H14:N14"/>
    <mergeCell ref="H15:N15"/>
    <mergeCell ref="P48:AB48"/>
    <mergeCell ref="D33:E33"/>
    <mergeCell ref="P41:AB41"/>
    <mergeCell ref="P42:AB42"/>
    <mergeCell ref="P43:AB43"/>
    <mergeCell ref="I41:N41"/>
    <mergeCell ref="I42:N42"/>
    <mergeCell ref="I43:N43"/>
    <mergeCell ref="C48:H48"/>
    <mergeCell ref="C41:H41"/>
    <mergeCell ref="C42:H42"/>
    <mergeCell ref="C47:H47"/>
    <mergeCell ref="I47:N47"/>
    <mergeCell ref="P47:AB47"/>
    <mergeCell ref="I46:N46"/>
    <mergeCell ref="C46:H46"/>
    <mergeCell ref="P46:AB46"/>
    <mergeCell ref="C15:G15"/>
    <mergeCell ref="P45:AB45"/>
    <mergeCell ref="I45:N45"/>
    <mergeCell ref="C45:H45"/>
    <mergeCell ref="C1:AB1"/>
    <mergeCell ref="C35:AB35"/>
    <mergeCell ref="P3:AB5"/>
    <mergeCell ref="P14:AB14"/>
    <mergeCell ref="P15:AB15"/>
    <mergeCell ref="P16:AB16"/>
    <mergeCell ref="P17:AB17"/>
    <mergeCell ref="P10:AB10"/>
    <mergeCell ref="P9:AB9"/>
    <mergeCell ref="P8:AB8"/>
    <mergeCell ref="P7:AB7"/>
    <mergeCell ref="P6:AB6"/>
    <mergeCell ref="H17:N17"/>
    <mergeCell ref="H2:N2"/>
    <mergeCell ref="C3:G5"/>
    <mergeCell ref="C6:G6"/>
    <mergeCell ref="C7:G7"/>
    <mergeCell ref="C8:G8"/>
    <mergeCell ref="C9:G9"/>
    <mergeCell ref="C10:G10"/>
    <mergeCell ref="C13:G13"/>
    <mergeCell ref="C24:G24"/>
    <mergeCell ref="H24:N24"/>
    <mergeCell ref="B2:G2"/>
    <mergeCell ref="H31:N31"/>
    <mergeCell ref="P31:AB31"/>
    <mergeCell ref="D37:E37"/>
    <mergeCell ref="G37:AB37"/>
    <mergeCell ref="P24:AB24"/>
    <mergeCell ref="G33:AB33"/>
    <mergeCell ref="C40:H40"/>
    <mergeCell ref="C43:H43"/>
    <mergeCell ref="P44:AB44"/>
    <mergeCell ref="P39:AB39"/>
    <mergeCell ref="P40:AB40"/>
    <mergeCell ref="I39:N39"/>
    <mergeCell ref="I40:N40"/>
    <mergeCell ref="C39:H39"/>
    <mergeCell ref="I44:N44"/>
    <mergeCell ref="C44:H44"/>
    <mergeCell ref="C31:G31"/>
    <mergeCell ref="C25:G25"/>
    <mergeCell ref="H25:N25"/>
    <mergeCell ref="P25:AB25"/>
    <mergeCell ref="AF3:AF5"/>
    <mergeCell ref="L18:N18"/>
    <mergeCell ref="K20:N20"/>
    <mergeCell ref="H21:N21"/>
    <mergeCell ref="P19:AB19"/>
    <mergeCell ref="P21:AB21"/>
    <mergeCell ref="P18:AB18"/>
    <mergeCell ref="C19:G19"/>
    <mergeCell ref="H19:N19"/>
    <mergeCell ref="C20:G20"/>
    <mergeCell ref="H16:I16"/>
    <mergeCell ref="J16:K16"/>
    <mergeCell ref="L16:M16"/>
    <mergeCell ref="AE3:AE5"/>
    <mergeCell ref="C17:G17"/>
    <mergeCell ref="H8:N8"/>
    <mergeCell ref="C14:G14"/>
    <mergeCell ref="C11:G11"/>
    <mergeCell ref="C12:G12"/>
    <mergeCell ref="H3:N3"/>
    <mergeCell ref="H9:N9"/>
    <mergeCell ref="H10:N10"/>
    <mergeCell ref="B26:B30"/>
    <mergeCell ref="C26:G26"/>
    <mergeCell ref="P26:AB26"/>
    <mergeCell ref="C27:G27"/>
    <mergeCell ref="P27:AB27"/>
    <mergeCell ref="C28:G28"/>
    <mergeCell ref="P28:AB28"/>
    <mergeCell ref="C29:G29"/>
    <mergeCell ref="P29:AB29"/>
    <mergeCell ref="C30:G30"/>
    <mergeCell ref="P30:AB30"/>
  </mergeCells>
  <phoneticPr fontId="1"/>
  <conditionalFormatting sqref="O3:O32">
    <cfRule type="containsText" dxfId="68" priority="18" operator="containsText" text="×">
      <formula>NOT(ISERROR(SEARCH("×",O3)))</formula>
    </cfRule>
    <cfRule type="containsText" dxfId="67" priority="20" operator="containsText" text="×">
      <formula>NOT(ISERROR(SEARCH("×",O3)))</formula>
    </cfRule>
  </conditionalFormatting>
  <conditionalFormatting sqref="P13 P3:W12 P32:W32 P14:W17 P44:AB46 P18:P31">
    <cfRule type="containsText" dxfId="66" priority="19" operator="containsText" text="要修正">
      <formula>NOT(ISERROR(SEARCH("要修正",P3)))</formula>
    </cfRule>
  </conditionalFormatting>
  <conditionalFormatting sqref="F33 O40:O48">
    <cfRule type="containsText" dxfId="65" priority="17" operator="containsText" text="×">
      <formula>NOT(ISERROR(SEARCH("×",F33)))</formula>
    </cfRule>
  </conditionalFormatting>
  <conditionalFormatting sqref="G33:AB33">
    <cfRule type="containsText" dxfId="64" priority="16" operator="containsText" text="要修正">
      <formula>NOT(ISERROR(SEARCH("要修正",G33)))</formula>
    </cfRule>
  </conditionalFormatting>
  <conditionalFormatting sqref="P47 P40:AB46 P48:AB48">
    <cfRule type="containsText" dxfId="63" priority="13" operator="containsText" text="要修正">
      <formula>NOT(ISERROR(SEARCH("要修正",P40)))</formula>
    </cfRule>
    <cfRule type="cellIs" dxfId="62" priority="14" operator="equal">
      <formula>"要修正"</formula>
    </cfRule>
  </conditionalFormatting>
  <conditionalFormatting sqref="F37">
    <cfRule type="containsText" dxfId="61" priority="10" operator="containsText" text="×">
      <formula>NOT(ISERROR(SEARCH("×",F37)))</formula>
    </cfRule>
  </conditionalFormatting>
  <conditionalFormatting sqref="G37:AB37">
    <cfRule type="containsText" dxfId="60" priority="9" operator="containsText" text="要修正">
      <formula>NOT(ISERROR(SEARCH("要修正",G37)))</formula>
    </cfRule>
  </conditionalFormatting>
  <conditionalFormatting sqref="P44:AB46">
    <cfRule type="containsText" dxfId="59" priority="6" operator="containsText" text="要修正">
      <formula>NOT(ISERROR(SEARCH("要修正",P44)))</formula>
    </cfRule>
    <cfRule type="cellIs" dxfId="58" priority="7" operator="equal">
      <formula>"要修正"</formula>
    </cfRule>
  </conditionalFormatting>
  <conditionalFormatting sqref="P44:AB46">
    <cfRule type="containsText" dxfId="57" priority="4" operator="containsText" text="要修正">
      <formula>NOT(ISERROR(SEARCH("要修正",P44)))</formula>
    </cfRule>
  </conditionalFormatting>
  <dataValidations count="10">
    <dataValidation type="list" allowBlank="1" showInputMessage="1" showErrorMessage="1" sqref="H22" xr:uid="{00000000-0002-0000-0100-000000000000}">
      <formula1>$AL$22:$AL$23</formula1>
    </dataValidation>
    <dataValidation imeMode="halfAlpha" allowBlank="1" showInputMessage="1" showErrorMessage="1" sqref="H16:M16" xr:uid="{00000000-0002-0000-0100-000002000000}"/>
    <dataValidation type="whole" allowBlank="1" showInputMessage="1" showErrorMessage="1" error="7月から10月までの月数（７～10）の数値を入力してください。" sqref="K12" xr:uid="{EDC5634C-5450-45A0-BC73-B628CA337D40}">
      <formula1>7</formula1>
      <formula2>10</formula2>
    </dataValidation>
    <dataValidation type="whole" allowBlank="1" showInputMessage="1" showErrorMessage="1" error="提出日の日付を入力してください。" sqref="M12" xr:uid="{FB895EDB-A9C3-4BF4-9BFB-FE863A63C199}">
      <formula1>1</formula1>
      <formula2>31</formula2>
    </dataValidation>
    <dataValidation type="textLength" imeMode="halfKatakana" allowBlank="1" showInputMessage="1" showErrorMessage="1" errorTitle="入力した字数が多すぎます" error="振込先口座のｶﾅ名義は30字以内で入力してください。" sqref="H24:H30 I24:N24 J26:J30 L26:L30 N26:N30" xr:uid="{00000000-0002-0000-0100-000001000000}">
      <formula1>1</formula1>
      <formula2>30</formula2>
    </dataValidation>
    <dataValidation type="whole" allowBlank="1" showInputMessage="1" showErrorMessage="1" error="令和５年の「５」を入力してください。" sqref="I12" xr:uid="{00000000-0002-0000-0100-000004000000}">
      <formula1>5</formula1>
      <formula2>5</formula2>
    </dataValidation>
    <dataValidation type="whole" allowBlank="1" showInputMessage="1" showErrorMessage="1" error="0から9までの値を１マスに１字ずつ入力してください。" sqref="H23:N23 H20:J20 H18:K18" xr:uid="{66C10471-1886-491C-85A8-8C3EB8DBF9C9}">
      <formula1>0</formula1>
      <formula2>9</formula2>
    </dataValidation>
    <dataValidation type="whole" imeMode="halfKatakana" allowBlank="1" showInputMessage="1" showErrorMessage="1" errorTitle="入力した字数が多すぎます" error="令和５年の「５」を入力してください。" sqref="I26:I30" xr:uid="{EE0E8B63-311D-4891-BFDF-42E4E9DFB2DD}">
      <formula1>5</formula1>
      <formula2>5</formula2>
    </dataValidation>
    <dataValidation type="whole" imeMode="halfKatakana" allowBlank="1" showInputMessage="1" showErrorMessage="1" error="日付の値を入力してください。" sqref="M26:M30" xr:uid="{73885812-95C1-40ED-B2B7-E68E1D647D92}">
      <formula1>1</formula1>
      <formula2>31</formula2>
    </dataValidation>
    <dataValidation type="whole" imeMode="halfKatakana" allowBlank="1" showInputMessage="1" showErrorMessage="1" error="3月から9月までの月数の値を入力してください。" sqref="K26:K30" xr:uid="{B70609D2-2140-4A92-B143-51C328B9A2E0}">
      <formula1>3</formula1>
      <formula2>9</formula2>
    </dataValidation>
  </dataValidations>
  <printOptions horizontalCentered="1"/>
  <pageMargins left="0.70866141732283472" right="0.70866141732283472" top="0.74803149606299213" bottom="0.74803149606299213" header="0.31496062992125984" footer="0.31496062992125984"/>
  <pageSetup paperSize="9" scale="37" orientation="portrait" r:id="rId1"/>
  <rowBreaks count="1" manualBreakCount="1">
    <brk id="12"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85725</xdr:colOff>
                    <xdr:row>2</xdr:row>
                    <xdr:rowOff>57150</xdr:rowOff>
                  </from>
                  <to>
                    <xdr:col>7</xdr:col>
                    <xdr:colOff>333375</xdr:colOff>
                    <xdr:row>2</xdr:row>
                    <xdr:rowOff>266700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7</xdr:col>
                    <xdr:colOff>85725</xdr:colOff>
                    <xdr:row>3</xdr:row>
                    <xdr:rowOff>76200</xdr:rowOff>
                  </from>
                  <to>
                    <xdr:col>7</xdr:col>
                    <xdr:colOff>333375</xdr:colOff>
                    <xdr:row>3</xdr:row>
                    <xdr:rowOff>304800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7</xdr:col>
                    <xdr:colOff>85725</xdr:colOff>
                    <xdr:row>4</xdr:row>
                    <xdr:rowOff>38100</xdr:rowOff>
                  </from>
                  <to>
                    <xdr:col>7</xdr:col>
                    <xdr:colOff>428625</xdr:colOff>
                    <xdr:row>4</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テーブル!$C$23:$C$24</xm:f>
          </x14:formula1>
          <xm:sqref>H31:N31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77F67-C138-4B7D-BA3A-32175CE5730C}">
  <sheetPr>
    <tabColor theme="5" tint="0.39997558519241921"/>
    <pageSetUpPr fitToPage="1"/>
  </sheetPr>
  <dimension ref="A1:AT61"/>
  <sheetViews>
    <sheetView showGridLines="0" view="pageBreakPreview" zoomScale="70" zoomScaleNormal="100" zoomScaleSheetLayoutView="70" workbookViewId="0">
      <selection activeCell="AA10" sqref="AA10"/>
    </sheetView>
  </sheetViews>
  <sheetFormatPr defaultColWidth="9" defaultRowHeight="19.5" x14ac:dyDescent="0.4"/>
  <cols>
    <col min="1" max="47" width="3.625" style="238" customWidth="1"/>
    <col min="48" max="48" width="3.75" style="238" customWidth="1"/>
    <col min="49" max="50" width="3.625" style="238" customWidth="1"/>
    <col min="51" max="16384" width="9" style="238"/>
  </cols>
  <sheetData>
    <row r="1" spans="1:43" x14ac:dyDescent="0.4">
      <c r="AB1" s="495" t="s">
        <v>71</v>
      </c>
      <c r="AC1" s="496"/>
      <c r="AD1" s="497"/>
      <c r="AE1" s="495" t="str">
        <f>IF(COUNTIF(AK1:AN1,"○")=4,"○","×")</f>
        <v>×</v>
      </c>
      <c r="AF1" s="496"/>
      <c r="AG1" s="496"/>
      <c r="AH1" s="497"/>
      <c r="AK1" s="238" t="str">
        <f>AJ5</f>
        <v>×</v>
      </c>
      <c r="AL1" s="238" t="str">
        <f>AJ15</f>
        <v>×</v>
      </c>
      <c r="AM1" s="238" t="str">
        <f>AJ40</f>
        <v>×</v>
      </c>
      <c r="AN1" s="238" t="str">
        <f>AJ48</f>
        <v>×</v>
      </c>
    </row>
    <row r="2" spans="1:43" ht="30" x14ac:dyDescent="0.4">
      <c r="A2" s="531" t="s">
        <v>247</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227"/>
      <c r="AK2" s="227"/>
    </row>
    <row r="3" spans="1:43" ht="30" x14ac:dyDescent="0.4">
      <c r="A3" s="531"/>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227"/>
      <c r="AK3" s="227"/>
    </row>
    <row r="4" spans="1:43" x14ac:dyDescent="0.4">
      <c r="D4" s="239"/>
      <c r="E4" s="239"/>
      <c r="F4" s="239"/>
      <c r="G4" s="239"/>
      <c r="H4" s="239"/>
      <c r="I4" s="239"/>
      <c r="J4" s="239"/>
      <c r="K4" s="239"/>
      <c r="L4" s="239"/>
      <c r="M4" s="239"/>
      <c r="N4" s="239"/>
      <c r="O4" s="239"/>
      <c r="P4" s="239"/>
      <c r="Q4" s="239"/>
      <c r="R4" s="239"/>
      <c r="S4" s="239"/>
      <c r="T4" s="239"/>
      <c r="U4" s="239"/>
    </row>
    <row r="5" spans="1:43" x14ac:dyDescent="0.4">
      <c r="A5" s="498" t="str">
        <f>"１．診療日　【判定】"&amp;AJ5&amp;"（"&amp;VLOOKUP(AJ5,AP6:AQ7,2,FALSE)&amp;"）"</f>
        <v>１．診療日　【判定】×（【要修正】未入力または入力不十分の箇所があります。）</v>
      </c>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238" t="str">
        <f>IF(COUNTIF(AJ7:AJ8,"○")=2,"○","×")</f>
        <v>×</v>
      </c>
    </row>
    <row r="6" spans="1:43" x14ac:dyDescent="0.4">
      <c r="B6" s="518" t="s">
        <v>314</v>
      </c>
      <c r="C6" s="519"/>
      <c r="D6" s="519"/>
      <c r="E6" s="519"/>
      <c r="F6" s="519"/>
      <c r="G6" s="519"/>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L6" s="238" t="s">
        <v>245</v>
      </c>
      <c r="AP6" s="238" t="s">
        <v>86</v>
      </c>
      <c r="AQ6" s="238" t="s">
        <v>357</v>
      </c>
    </row>
    <row r="7" spans="1:43" x14ac:dyDescent="0.4">
      <c r="B7" s="500" t="s">
        <v>243</v>
      </c>
      <c r="C7" s="527"/>
      <c r="D7" s="500" t="s">
        <v>244</v>
      </c>
      <c r="E7" s="527"/>
      <c r="F7" s="500" t="s">
        <v>241</v>
      </c>
      <c r="G7" s="527"/>
      <c r="H7" s="500" t="s">
        <v>242</v>
      </c>
      <c r="I7" s="527"/>
      <c r="J7" s="500" t="s">
        <v>239</v>
      </c>
      <c r="K7" s="527"/>
      <c r="L7" s="500" t="s">
        <v>240</v>
      </c>
      <c r="M7" s="527"/>
      <c r="N7" s="500" t="s">
        <v>52</v>
      </c>
      <c r="O7" s="527"/>
      <c r="AJ7" s="238" t="str">
        <f>IF(COUNTA(B8:O9)=7,"○","×")</f>
        <v>×</v>
      </c>
      <c r="AL7" s="238" t="s">
        <v>246</v>
      </c>
      <c r="AP7" s="238" t="s">
        <v>356</v>
      </c>
      <c r="AQ7" s="238" t="s">
        <v>358</v>
      </c>
    </row>
    <row r="8" spans="1:43" x14ac:dyDescent="0.4">
      <c r="B8" s="532"/>
      <c r="C8" s="532"/>
      <c r="D8" s="532"/>
      <c r="E8" s="532"/>
      <c r="F8" s="532"/>
      <c r="G8" s="532"/>
      <c r="H8" s="532"/>
      <c r="I8" s="532"/>
      <c r="J8" s="532"/>
      <c r="K8" s="532"/>
      <c r="L8" s="532"/>
      <c r="M8" s="532"/>
      <c r="N8" s="532"/>
      <c r="O8" s="532"/>
      <c r="AJ8" s="238" t="str">
        <f>IF(COUNTA(B12)=1,"○","×")</f>
        <v>×</v>
      </c>
    </row>
    <row r="9" spans="1:43" x14ac:dyDescent="0.4">
      <c r="B9" s="533"/>
      <c r="C9" s="533"/>
      <c r="D9" s="533"/>
      <c r="E9" s="533"/>
      <c r="F9" s="533"/>
      <c r="G9" s="533"/>
      <c r="H9" s="533"/>
      <c r="I9" s="533"/>
      <c r="J9" s="533"/>
      <c r="K9" s="533"/>
      <c r="L9" s="533"/>
      <c r="M9" s="533"/>
      <c r="N9" s="533"/>
      <c r="O9" s="533"/>
    </row>
    <row r="11" spans="1:43" x14ac:dyDescent="0.4">
      <c r="B11" s="518" t="s">
        <v>315</v>
      </c>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L11" s="238" t="s">
        <v>316</v>
      </c>
    </row>
    <row r="12" spans="1:43" x14ac:dyDescent="0.4">
      <c r="B12" s="534"/>
      <c r="C12" s="535"/>
      <c r="D12" s="535"/>
      <c r="E12" s="535"/>
      <c r="F12" s="535"/>
      <c r="G12" s="535"/>
      <c r="H12" s="535"/>
      <c r="I12" s="535"/>
      <c r="J12" s="535"/>
      <c r="K12" s="535"/>
      <c r="L12" s="535"/>
      <c r="M12" s="535"/>
      <c r="N12" s="535"/>
      <c r="O12" s="536"/>
      <c r="AL12" s="238" t="s">
        <v>317</v>
      </c>
    </row>
    <row r="13" spans="1:43" x14ac:dyDescent="0.4">
      <c r="B13" s="537"/>
      <c r="C13" s="538"/>
      <c r="D13" s="538"/>
      <c r="E13" s="538"/>
      <c r="F13" s="538"/>
      <c r="G13" s="538"/>
      <c r="H13" s="538"/>
      <c r="I13" s="538"/>
      <c r="J13" s="538"/>
      <c r="K13" s="538"/>
      <c r="L13" s="538"/>
      <c r="M13" s="538"/>
      <c r="N13" s="538"/>
      <c r="O13" s="539"/>
    </row>
    <row r="15" spans="1:43" x14ac:dyDescent="0.4">
      <c r="A15" s="498" t="str">
        <f>"２．診療体制　【判定】"&amp;AJ15&amp;"（"&amp;VLOOKUP(AJ15,AP6:AQ7,2,FALSE)&amp;"）"</f>
        <v>２．診療体制　【判定】×（【要修正】未入力または入力不十分の箇所があります。）</v>
      </c>
      <c r="B15" s="499"/>
      <c r="C15" s="499"/>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238" t="str">
        <f>IF(COUNTIF(AJ16:AJ22,"○")=2,"○","×")</f>
        <v>×</v>
      </c>
    </row>
    <row r="16" spans="1:43" x14ac:dyDescent="0.4">
      <c r="A16" s="498" t="str">
        <f>"（１）スタッフの状況　【判定】"&amp;AJ16&amp;"（"&amp;VLOOKUP(AJ16,AP6:AQ7,2,FALSE)&amp;"）"</f>
        <v>（１）スタッフの状況　【判定】×（【要修正】未入力または入力不十分の箇所があります。）</v>
      </c>
      <c r="B16" s="499"/>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238" t="str">
        <f>IF(COUNTA(B19:G20)=2,"○","×")</f>
        <v>×</v>
      </c>
    </row>
    <row r="17" spans="1:38" x14ac:dyDescent="0.4">
      <c r="B17" s="518" t="s">
        <v>318</v>
      </c>
      <c r="C17" s="519"/>
      <c r="D17" s="519"/>
      <c r="E17" s="519"/>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row>
    <row r="18" spans="1:38" x14ac:dyDescent="0.4">
      <c r="B18" s="500" t="s">
        <v>319</v>
      </c>
      <c r="C18" s="527"/>
      <c r="D18" s="522"/>
      <c r="E18" s="500" t="s">
        <v>320</v>
      </c>
      <c r="F18" s="501"/>
      <c r="G18" s="501"/>
      <c r="H18" s="500" t="s">
        <v>41</v>
      </c>
      <c r="I18" s="527"/>
      <c r="J18" s="522"/>
    </row>
    <row r="19" spans="1:38" x14ac:dyDescent="0.4">
      <c r="B19" s="561"/>
      <c r="C19" s="562"/>
      <c r="D19" s="563"/>
      <c r="E19" s="525"/>
      <c r="F19" s="526"/>
      <c r="G19" s="526"/>
      <c r="H19" s="528">
        <f>SUM(B19:G20)</f>
        <v>0</v>
      </c>
      <c r="I19" s="529"/>
      <c r="J19" s="530"/>
    </row>
    <row r="20" spans="1:38" x14ac:dyDescent="0.4">
      <c r="B20" s="562"/>
      <c r="C20" s="562"/>
      <c r="D20" s="563"/>
      <c r="E20" s="526"/>
      <c r="F20" s="526"/>
      <c r="G20" s="526"/>
      <c r="H20" s="529"/>
      <c r="I20" s="529"/>
      <c r="J20" s="530"/>
    </row>
    <row r="22" spans="1:38" x14ac:dyDescent="0.4">
      <c r="A22" s="498" t="str">
        <f>"（２）診察を行う場所　【判定】"&amp;AJ22&amp;"（"&amp;VLOOKUP(AJ22,AP6:AQ7,2,FALSE)&amp;"）"</f>
        <v>（２）診察を行う場所　【判定】×（【要修正】未入力または入力不十分の箇所があります。）</v>
      </c>
      <c r="B22" s="499"/>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240" t="str">
        <f>IF(COUNTIF(AJ23:AJ25,"○")=3,"○","×")</f>
        <v>×</v>
      </c>
    </row>
    <row r="23" spans="1:38" x14ac:dyDescent="0.4">
      <c r="B23" s="518" t="s">
        <v>321</v>
      </c>
      <c r="C23" s="519"/>
      <c r="D23" s="519"/>
      <c r="E23" s="519"/>
      <c r="F23" s="519"/>
      <c r="G23" s="519"/>
      <c r="H23" s="519"/>
      <c r="I23" s="519"/>
      <c r="J23" s="519"/>
      <c r="K23" s="519"/>
      <c r="L23" s="519"/>
      <c r="M23" s="519"/>
      <c r="N23" s="519"/>
      <c r="O23" s="519"/>
      <c r="P23" s="519"/>
      <c r="Q23" s="519"/>
      <c r="R23" s="519"/>
      <c r="S23" s="519"/>
      <c r="T23" s="519"/>
      <c r="U23" s="519"/>
      <c r="V23" s="519"/>
      <c r="W23" s="519"/>
      <c r="X23" s="519"/>
      <c r="Y23" s="519"/>
      <c r="Z23" s="519"/>
      <c r="AA23" s="519"/>
      <c r="AB23" s="519"/>
      <c r="AC23" s="519"/>
      <c r="AD23" s="519"/>
      <c r="AE23" s="519"/>
      <c r="AF23" s="519"/>
      <c r="AG23" s="519"/>
      <c r="AH23" s="519"/>
      <c r="AJ23" s="240" t="str">
        <f>IF(COUNTA(B25)=1,"○","×")</f>
        <v>×</v>
      </c>
    </row>
    <row r="24" spans="1:38" x14ac:dyDescent="0.4">
      <c r="A24" s="518" t="s">
        <v>322</v>
      </c>
      <c r="B24" s="519"/>
      <c r="C24" s="519"/>
      <c r="D24" s="519"/>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J24" s="240" t="str">
        <f>IF(COUNTA(B29)=1,"○","×")</f>
        <v>×</v>
      </c>
    </row>
    <row r="25" spans="1:38" x14ac:dyDescent="0.4">
      <c r="B25" s="540"/>
      <c r="C25" s="541"/>
      <c r="D25" s="541"/>
      <c r="E25" s="542"/>
      <c r="AJ25" s="240" t="str">
        <f>IF(AND(B29="その他",COUNTA(B33)=0),"×","○")</f>
        <v>○</v>
      </c>
    </row>
    <row r="26" spans="1:38" x14ac:dyDescent="0.4">
      <c r="B26" s="543"/>
      <c r="C26" s="544"/>
      <c r="D26" s="544"/>
      <c r="E26" s="545"/>
    </row>
    <row r="28" spans="1:38" x14ac:dyDescent="0.4">
      <c r="A28" s="518" t="s">
        <v>323</v>
      </c>
      <c r="B28" s="519"/>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row>
    <row r="29" spans="1:38" x14ac:dyDescent="0.4">
      <c r="B29" s="504"/>
      <c r="C29" s="554"/>
      <c r="D29" s="554"/>
      <c r="E29" s="554"/>
      <c r="F29" s="554"/>
      <c r="G29" s="554"/>
      <c r="H29" s="554"/>
      <c r="I29" s="554"/>
      <c r="J29" s="554"/>
      <c r="K29" s="554"/>
      <c r="L29" s="555"/>
      <c r="M29" s="555"/>
      <c r="N29" s="555"/>
      <c r="O29" s="556"/>
      <c r="AL29" s="238" t="s">
        <v>324</v>
      </c>
    </row>
    <row r="30" spans="1:38" x14ac:dyDescent="0.4">
      <c r="B30" s="557"/>
      <c r="C30" s="558"/>
      <c r="D30" s="558"/>
      <c r="E30" s="558"/>
      <c r="F30" s="558"/>
      <c r="G30" s="558"/>
      <c r="H30" s="558"/>
      <c r="I30" s="558"/>
      <c r="J30" s="558"/>
      <c r="K30" s="558"/>
      <c r="L30" s="559"/>
      <c r="M30" s="559"/>
      <c r="N30" s="559"/>
      <c r="O30" s="560"/>
      <c r="AL30" s="238" t="s">
        <v>325</v>
      </c>
    </row>
    <row r="31" spans="1:38" x14ac:dyDescent="0.4">
      <c r="AL31" s="238" t="s">
        <v>106</v>
      </c>
    </row>
    <row r="32" spans="1:38" x14ac:dyDescent="0.4">
      <c r="B32" s="520" t="s">
        <v>326</v>
      </c>
      <c r="C32" s="521"/>
      <c r="D32" s="521"/>
      <c r="E32" s="52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row>
    <row r="33" spans="1:38" x14ac:dyDescent="0.4">
      <c r="B33" s="513"/>
      <c r="C33" s="546"/>
      <c r="D33" s="546"/>
      <c r="E33" s="546"/>
      <c r="F33" s="546"/>
      <c r="G33" s="546"/>
      <c r="H33" s="546"/>
      <c r="I33" s="546"/>
      <c r="J33" s="546"/>
      <c r="K33" s="546"/>
      <c r="L33" s="546"/>
      <c r="M33" s="546"/>
      <c r="N33" s="546"/>
      <c r="O33" s="546"/>
      <c r="P33" s="546"/>
      <c r="Q33" s="546"/>
      <c r="R33" s="546"/>
      <c r="S33" s="546"/>
      <c r="T33" s="546"/>
      <c r="U33" s="546"/>
      <c r="V33" s="546"/>
      <c r="W33" s="546"/>
      <c r="X33" s="546"/>
      <c r="Y33" s="546"/>
      <c r="Z33" s="546"/>
      <c r="AA33" s="546"/>
      <c r="AB33" s="546"/>
      <c r="AC33" s="546"/>
      <c r="AD33" s="546"/>
      <c r="AE33" s="546"/>
      <c r="AF33" s="546"/>
      <c r="AG33" s="546"/>
      <c r="AH33" s="547"/>
    </row>
    <row r="34" spans="1:38" x14ac:dyDescent="0.4">
      <c r="B34" s="548"/>
      <c r="C34" s="549"/>
      <c r="D34" s="549"/>
      <c r="E34" s="549"/>
      <c r="F34" s="549"/>
      <c r="G34" s="549"/>
      <c r="H34" s="549"/>
      <c r="I34" s="549"/>
      <c r="J34" s="549"/>
      <c r="K34" s="549"/>
      <c r="L34" s="549"/>
      <c r="M34" s="549"/>
      <c r="N34" s="549"/>
      <c r="O34" s="549"/>
      <c r="P34" s="549"/>
      <c r="Q34" s="549"/>
      <c r="R34" s="549"/>
      <c r="S34" s="549"/>
      <c r="T34" s="549"/>
      <c r="U34" s="549"/>
      <c r="V34" s="549"/>
      <c r="W34" s="549"/>
      <c r="X34" s="549"/>
      <c r="Y34" s="549"/>
      <c r="Z34" s="549"/>
      <c r="AA34" s="549"/>
      <c r="AB34" s="549"/>
      <c r="AC34" s="549"/>
      <c r="AD34" s="549"/>
      <c r="AE34" s="549"/>
      <c r="AF34" s="549"/>
      <c r="AG34" s="549"/>
      <c r="AH34" s="550"/>
    </row>
    <row r="35" spans="1:38" x14ac:dyDescent="0.4">
      <c r="B35" s="548"/>
      <c r="C35" s="549"/>
      <c r="D35" s="549"/>
      <c r="E35" s="549"/>
      <c r="F35" s="549"/>
      <c r="G35" s="549"/>
      <c r="H35" s="549"/>
      <c r="I35" s="549"/>
      <c r="J35" s="549"/>
      <c r="K35" s="549"/>
      <c r="L35" s="549"/>
      <c r="M35" s="549"/>
      <c r="N35" s="549"/>
      <c r="O35" s="549"/>
      <c r="P35" s="549"/>
      <c r="Q35" s="549"/>
      <c r="R35" s="549"/>
      <c r="S35" s="549"/>
      <c r="T35" s="549"/>
      <c r="U35" s="549"/>
      <c r="V35" s="549"/>
      <c r="W35" s="549"/>
      <c r="X35" s="549"/>
      <c r="Y35" s="549"/>
      <c r="Z35" s="549"/>
      <c r="AA35" s="549"/>
      <c r="AB35" s="549"/>
      <c r="AC35" s="549"/>
      <c r="AD35" s="549"/>
      <c r="AE35" s="549"/>
      <c r="AF35" s="549"/>
      <c r="AG35" s="549"/>
      <c r="AH35" s="550"/>
    </row>
    <row r="36" spans="1:38" x14ac:dyDescent="0.4">
      <c r="B36" s="548"/>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50"/>
    </row>
    <row r="37" spans="1:38" x14ac:dyDescent="0.4">
      <c r="B37" s="548"/>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50"/>
    </row>
    <row r="38" spans="1:38" x14ac:dyDescent="0.4">
      <c r="B38" s="551"/>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3"/>
    </row>
    <row r="40" spans="1:38" x14ac:dyDescent="0.4">
      <c r="A40" s="498" t="str">
        <f>"３．外来対応実績　【判定】"&amp;AJ40&amp;"（"&amp;VLOOKUP(AJ40,AP6:AQ7,2,FALSE)&amp;"）"</f>
        <v>３．外来対応実績　【判定】×（【要修正】未入力または入力不十分の箇所があります。）</v>
      </c>
      <c r="B40" s="499"/>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238" t="str">
        <f>IF(COUNTA(B45:AB46)=9,"○","×")</f>
        <v>×</v>
      </c>
    </row>
    <row r="41" spans="1:38" x14ac:dyDescent="0.4">
      <c r="B41" s="518" t="s">
        <v>327</v>
      </c>
      <c r="C41" s="519"/>
      <c r="D41" s="519"/>
      <c r="E41" s="519"/>
      <c r="F41" s="519"/>
      <c r="G41" s="519"/>
      <c r="H41" s="519"/>
      <c r="I41" s="519"/>
      <c r="J41" s="519"/>
      <c r="K41" s="519"/>
      <c r="L41" s="519"/>
      <c r="M41" s="519"/>
      <c r="N41" s="519"/>
      <c r="O41" s="519"/>
      <c r="P41" s="519"/>
      <c r="Q41" s="519"/>
      <c r="R41" s="519"/>
      <c r="S41" s="519"/>
      <c r="T41" s="519"/>
      <c r="U41" s="519"/>
      <c r="V41" s="519"/>
      <c r="W41" s="519"/>
      <c r="X41" s="519"/>
      <c r="Y41" s="519"/>
      <c r="Z41" s="519"/>
      <c r="AA41" s="519"/>
      <c r="AB41" s="519"/>
      <c r="AC41" s="519"/>
      <c r="AD41" s="519"/>
      <c r="AE41" s="519"/>
      <c r="AF41" s="519"/>
      <c r="AG41" s="519"/>
      <c r="AH41" s="519"/>
    </row>
    <row r="42" spans="1:38" x14ac:dyDescent="0.4">
      <c r="B42" s="518" t="s">
        <v>337</v>
      </c>
      <c r="C42" s="519"/>
      <c r="D42" s="519"/>
      <c r="E42" s="519"/>
      <c r="F42" s="519"/>
      <c r="G42" s="519"/>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row>
    <row r="43" spans="1:38" x14ac:dyDescent="0.4">
      <c r="B43" s="518" t="s">
        <v>338</v>
      </c>
      <c r="C43" s="519"/>
      <c r="D43" s="519"/>
      <c r="E43" s="519"/>
      <c r="F43" s="519"/>
      <c r="G43" s="519"/>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row>
    <row r="44" spans="1:38" x14ac:dyDescent="0.4">
      <c r="B44" s="500" t="s">
        <v>328</v>
      </c>
      <c r="C44" s="501"/>
      <c r="D44" s="501"/>
      <c r="E44" s="500" t="s">
        <v>329</v>
      </c>
      <c r="F44" s="501"/>
      <c r="G44" s="501"/>
      <c r="H44" s="500" t="s">
        <v>330</v>
      </c>
      <c r="I44" s="501"/>
      <c r="J44" s="501"/>
      <c r="K44" s="500" t="s">
        <v>331</v>
      </c>
      <c r="L44" s="501"/>
      <c r="M44" s="501"/>
      <c r="N44" s="500" t="s">
        <v>332</v>
      </c>
      <c r="O44" s="501"/>
      <c r="P44" s="501"/>
      <c r="Q44" s="500" t="s">
        <v>333</v>
      </c>
      <c r="R44" s="501"/>
      <c r="S44" s="501"/>
      <c r="T44" s="500" t="s">
        <v>334</v>
      </c>
      <c r="U44" s="501"/>
      <c r="V44" s="501"/>
      <c r="W44" s="500" t="s">
        <v>335</v>
      </c>
      <c r="X44" s="501"/>
      <c r="Y44" s="501"/>
      <c r="Z44" s="500" t="s">
        <v>336</v>
      </c>
      <c r="AA44" s="501"/>
      <c r="AB44" s="501"/>
      <c r="AC44" s="500" t="s">
        <v>41</v>
      </c>
      <c r="AD44" s="501"/>
      <c r="AE44" s="501"/>
    </row>
    <row r="45" spans="1:38" x14ac:dyDescent="0.4">
      <c r="B45" s="516"/>
      <c r="C45" s="517"/>
      <c r="D45" s="517"/>
      <c r="E45" s="516"/>
      <c r="F45" s="517"/>
      <c r="G45" s="517"/>
      <c r="H45" s="516"/>
      <c r="I45" s="517"/>
      <c r="J45" s="517"/>
      <c r="K45" s="516"/>
      <c r="L45" s="517"/>
      <c r="M45" s="517"/>
      <c r="N45" s="516"/>
      <c r="O45" s="517"/>
      <c r="P45" s="517"/>
      <c r="Q45" s="516"/>
      <c r="R45" s="517"/>
      <c r="S45" s="517"/>
      <c r="T45" s="516"/>
      <c r="U45" s="517"/>
      <c r="V45" s="517"/>
      <c r="W45" s="516"/>
      <c r="X45" s="517"/>
      <c r="Y45" s="517"/>
      <c r="Z45" s="516"/>
      <c r="AA45" s="517"/>
      <c r="AB45" s="517"/>
      <c r="AC45" s="514">
        <f>SUM(B45:AB46)</f>
        <v>0</v>
      </c>
      <c r="AD45" s="515"/>
      <c r="AE45" s="515"/>
    </row>
    <row r="46" spans="1:38" x14ac:dyDescent="0.4">
      <c r="B46" s="517"/>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5"/>
      <c r="AD46" s="515"/>
      <c r="AE46" s="515"/>
    </row>
    <row r="47" spans="1:38" x14ac:dyDescent="0.4">
      <c r="AL47" s="238" t="s">
        <v>345</v>
      </c>
    </row>
    <row r="48" spans="1:38" x14ac:dyDescent="0.4">
      <c r="A48" s="498" t="str">
        <f>"４．診療及び検査の実施手順　【判定】"&amp;AJ48&amp;"（"&amp;VLOOKUP(AJ48,AP6:AQ7,2,FALSE)&amp;"）"</f>
        <v>４．診療及び検査の実施手順　【判定】×（【要修正】未入力または入力不十分の箇所があります。）</v>
      </c>
      <c r="B48" s="499"/>
      <c r="C48" s="499"/>
      <c r="D48" s="499"/>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240" t="str">
        <f>IF(COUNTIF(AJ53:AJ61,"○")=3,"○","×")</f>
        <v>×</v>
      </c>
      <c r="AL48" s="238" t="s">
        <v>346</v>
      </c>
    </row>
    <row r="49" spans="2:46" x14ac:dyDescent="0.4">
      <c r="B49" s="518" t="s">
        <v>339</v>
      </c>
      <c r="C49" s="519"/>
      <c r="D49" s="519"/>
      <c r="E49" s="519"/>
      <c r="F49" s="519"/>
      <c r="G49" s="519"/>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L49" s="238" t="s">
        <v>347</v>
      </c>
    </row>
    <row r="50" spans="2:46" x14ac:dyDescent="0.4">
      <c r="B50" s="518" t="s">
        <v>354</v>
      </c>
      <c r="C50" s="519"/>
      <c r="D50" s="519"/>
      <c r="E50" s="519"/>
      <c r="F50" s="519"/>
      <c r="G50" s="519"/>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L50" s="238" t="s">
        <v>350</v>
      </c>
      <c r="AT50" s="238" t="s">
        <v>352</v>
      </c>
    </row>
    <row r="51" spans="2:46" x14ac:dyDescent="0.4">
      <c r="B51" s="520" t="s">
        <v>355</v>
      </c>
      <c r="C51" s="521"/>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c r="AD51" s="521"/>
      <c r="AE51" s="521"/>
      <c r="AF51" s="521"/>
      <c r="AG51" s="521"/>
      <c r="AH51" s="521"/>
      <c r="AL51" s="238" t="s">
        <v>348</v>
      </c>
      <c r="AT51" s="238" t="s">
        <v>320</v>
      </c>
    </row>
    <row r="52" spans="2:46" x14ac:dyDescent="0.4">
      <c r="B52" s="500" t="s">
        <v>341</v>
      </c>
      <c r="C52" s="501"/>
      <c r="D52" s="501"/>
      <c r="E52" s="500" t="s">
        <v>344</v>
      </c>
      <c r="F52" s="501"/>
      <c r="G52" s="501"/>
      <c r="H52" s="501"/>
      <c r="I52" s="501"/>
      <c r="J52" s="501"/>
      <c r="K52" s="501"/>
      <c r="L52" s="500" t="s">
        <v>351</v>
      </c>
      <c r="M52" s="501"/>
      <c r="N52" s="501"/>
      <c r="O52" s="495" t="s">
        <v>353</v>
      </c>
      <c r="P52" s="496"/>
      <c r="Q52" s="496"/>
      <c r="R52" s="496"/>
      <c r="S52" s="496"/>
      <c r="T52" s="496"/>
      <c r="U52" s="496"/>
      <c r="V52" s="496"/>
      <c r="W52" s="496"/>
      <c r="X52" s="496"/>
      <c r="Y52" s="496"/>
      <c r="Z52" s="496"/>
      <c r="AA52" s="496"/>
      <c r="AB52" s="496"/>
      <c r="AC52" s="496"/>
      <c r="AD52" s="496"/>
      <c r="AE52" s="496"/>
      <c r="AF52" s="496"/>
      <c r="AG52" s="496"/>
      <c r="AH52" s="497"/>
      <c r="AL52" s="238" t="s">
        <v>349</v>
      </c>
      <c r="AT52" s="238" t="s">
        <v>319</v>
      </c>
    </row>
    <row r="53" spans="2:46" x14ac:dyDescent="0.4">
      <c r="B53" s="500" t="s">
        <v>340</v>
      </c>
      <c r="C53" s="501"/>
      <c r="D53" s="501"/>
      <c r="E53" s="523"/>
      <c r="F53" s="524"/>
      <c r="G53" s="524"/>
      <c r="H53" s="524"/>
      <c r="I53" s="524"/>
      <c r="J53" s="524"/>
      <c r="K53" s="524"/>
      <c r="L53" s="502"/>
      <c r="M53" s="503"/>
      <c r="N53" s="503"/>
      <c r="O53" s="513"/>
      <c r="P53" s="505"/>
      <c r="Q53" s="505"/>
      <c r="R53" s="505"/>
      <c r="S53" s="505"/>
      <c r="T53" s="505"/>
      <c r="U53" s="505"/>
      <c r="V53" s="505"/>
      <c r="W53" s="505"/>
      <c r="X53" s="505"/>
      <c r="Y53" s="505"/>
      <c r="Z53" s="505"/>
      <c r="AA53" s="505"/>
      <c r="AB53" s="505"/>
      <c r="AC53" s="505"/>
      <c r="AD53" s="505"/>
      <c r="AE53" s="505"/>
      <c r="AF53" s="505"/>
      <c r="AG53" s="505"/>
      <c r="AH53" s="506"/>
      <c r="AJ53" s="493" t="str">
        <f>IF(COUNTA(E53:AH55)=3,"○","×")</f>
        <v>×</v>
      </c>
    </row>
    <row r="54" spans="2:46" x14ac:dyDescent="0.4">
      <c r="B54" s="500"/>
      <c r="C54" s="501"/>
      <c r="D54" s="501"/>
      <c r="E54" s="523"/>
      <c r="F54" s="524"/>
      <c r="G54" s="524"/>
      <c r="H54" s="524"/>
      <c r="I54" s="524"/>
      <c r="J54" s="524"/>
      <c r="K54" s="524"/>
      <c r="L54" s="502"/>
      <c r="M54" s="503"/>
      <c r="N54" s="503"/>
      <c r="O54" s="507"/>
      <c r="P54" s="508"/>
      <c r="Q54" s="508"/>
      <c r="R54" s="508"/>
      <c r="S54" s="508"/>
      <c r="T54" s="508"/>
      <c r="U54" s="508"/>
      <c r="V54" s="508"/>
      <c r="W54" s="508"/>
      <c r="X54" s="508"/>
      <c r="Y54" s="508"/>
      <c r="Z54" s="508"/>
      <c r="AA54" s="508"/>
      <c r="AB54" s="508"/>
      <c r="AC54" s="508"/>
      <c r="AD54" s="508"/>
      <c r="AE54" s="508"/>
      <c r="AF54" s="508"/>
      <c r="AG54" s="508"/>
      <c r="AH54" s="509"/>
      <c r="AJ54" s="494"/>
    </row>
    <row r="55" spans="2:46" x14ac:dyDescent="0.4">
      <c r="B55" s="522"/>
      <c r="C55" s="522"/>
      <c r="D55" s="522"/>
      <c r="E55" s="524"/>
      <c r="F55" s="524"/>
      <c r="G55" s="524"/>
      <c r="H55" s="524"/>
      <c r="I55" s="524"/>
      <c r="J55" s="524"/>
      <c r="K55" s="524"/>
      <c r="L55" s="503"/>
      <c r="M55" s="503"/>
      <c r="N55" s="503"/>
      <c r="O55" s="510"/>
      <c r="P55" s="511"/>
      <c r="Q55" s="511"/>
      <c r="R55" s="511"/>
      <c r="S55" s="511"/>
      <c r="T55" s="511"/>
      <c r="U55" s="511"/>
      <c r="V55" s="511"/>
      <c r="W55" s="511"/>
      <c r="X55" s="511"/>
      <c r="Y55" s="511"/>
      <c r="Z55" s="511"/>
      <c r="AA55" s="511"/>
      <c r="AB55" s="511"/>
      <c r="AC55" s="511"/>
      <c r="AD55" s="511"/>
      <c r="AE55" s="511"/>
      <c r="AF55" s="511"/>
      <c r="AG55" s="511"/>
      <c r="AH55" s="512"/>
      <c r="AJ55" s="494"/>
    </row>
    <row r="56" spans="2:46" x14ac:dyDescent="0.4">
      <c r="B56" s="500" t="s">
        <v>342</v>
      </c>
      <c r="C56" s="501"/>
      <c r="D56" s="501"/>
      <c r="E56" s="523"/>
      <c r="F56" s="524"/>
      <c r="G56" s="524"/>
      <c r="H56" s="524"/>
      <c r="I56" s="524"/>
      <c r="J56" s="524"/>
      <c r="K56" s="524"/>
      <c r="L56" s="502"/>
      <c r="M56" s="503"/>
      <c r="N56" s="503"/>
      <c r="O56" s="504"/>
      <c r="P56" s="505"/>
      <c r="Q56" s="505"/>
      <c r="R56" s="505"/>
      <c r="S56" s="505"/>
      <c r="T56" s="505"/>
      <c r="U56" s="505"/>
      <c r="V56" s="505"/>
      <c r="W56" s="505"/>
      <c r="X56" s="505"/>
      <c r="Y56" s="505"/>
      <c r="Z56" s="505"/>
      <c r="AA56" s="505"/>
      <c r="AB56" s="505"/>
      <c r="AC56" s="505"/>
      <c r="AD56" s="505"/>
      <c r="AE56" s="505"/>
      <c r="AF56" s="505"/>
      <c r="AG56" s="505"/>
      <c r="AH56" s="506"/>
      <c r="AJ56" s="493" t="str">
        <f t="shared" ref="AJ56" si="0">IF(COUNTA(E56:AH58)=3,"○","×")</f>
        <v>×</v>
      </c>
    </row>
    <row r="57" spans="2:46" x14ac:dyDescent="0.4">
      <c r="B57" s="500"/>
      <c r="C57" s="501"/>
      <c r="D57" s="501"/>
      <c r="E57" s="523"/>
      <c r="F57" s="524"/>
      <c r="G57" s="524"/>
      <c r="H57" s="524"/>
      <c r="I57" s="524"/>
      <c r="J57" s="524"/>
      <c r="K57" s="524"/>
      <c r="L57" s="502"/>
      <c r="M57" s="503"/>
      <c r="N57" s="503"/>
      <c r="O57" s="507"/>
      <c r="P57" s="508"/>
      <c r="Q57" s="508"/>
      <c r="R57" s="508"/>
      <c r="S57" s="508"/>
      <c r="T57" s="508"/>
      <c r="U57" s="508"/>
      <c r="V57" s="508"/>
      <c r="W57" s="508"/>
      <c r="X57" s="508"/>
      <c r="Y57" s="508"/>
      <c r="Z57" s="508"/>
      <c r="AA57" s="508"/>
      <c r="AB57" s="508"/>
      <c r="AC57" s="508"/>
      <c r="AD57" s="508"/>
      <c r="AE57" s="508"/>
      <c r="AF57" s="508"/>
      <c r="AG57" s="508"/>
      <c r="AH57" s="509"/>
      <c r="AJ57" s="494"/>
    </row>
    <row r="58" spans="2:46" x14ac:dyDescent="0.4">
      <c r="B58" s="522"/>
      <c r="C58" s="522"/>
      <c r="D58" s="522"/>
      <c r="E58" s="524"/>
      <c r="F58" s="524"/>
      <c r="G58" s="524"/>
      <c r="H58" s="524"/>
      <c r="I58" s="524"/>
      <c r="J58" s="524"/>
      <c r="K58" s="524"/>
      <c r="L58" s="503"/>
      <c r="M58" s="503"/>
      <c r="N58" s="503"/>
      <c r="O58" s="510"/>
      <c r="P58" s="511"/>
      <c r="Q58" s="511"/>
      <c r="R58" s="511"/>
      <c r="S58" s="511"/>
      <c r="T58" s="511"/>
      <c r="U58" s="511"/>
      <c r="V58" s="511"/>
      <c r="W58" s="511"/>
      <c r="X58" s="511"/>
      <c r="Y58" s="511"/>
      <c r="Z58" s="511"/>
      <c r="AA58" s="511"/>
      <c r="AB58" s="511"/>
      <c r="AC58" s="511"/>
      <c r="AD58" s="511"/>
      <c r="AE58" s="511"/>
      <c r="AF58" s="511"/>
      <c r="AG58" s="511"/>
      <c r="AH58" s="512"/>
      <c r="AJ58" s="494"/>
    </row>
    <row r="59" spans="2:46" x14ac:dyDescent="0.4">
      <c r="B59" s="500" t="s">
        <v>343</v>
      </c>
      <c r="C59" s="501"/>
      <c r="D59" s="501"/>
      <c r="E59" s="523"/>
      <c r="F59" s="524"/>
      <c r="G59" s="524"/>
      <c r="H59" s="524"/>
      <c r="I59" s="524"/>
      <c r="J59" s="524"/>
      <c r="K59" s="524"/>
      <c r="L59" s="502"/>
      <c r="M59" s="503"/>
      <c r="N59" s="503"/>
      <c r="O59" s="513"/>
      <c r="P59" s="505"/>
      <c r="Q59" s="505"/>
      <c r="R59" s="505"/>
      <c r="S59" s="505"/>
      <c r="T59" s="505"/>
      <c r="U59" s="505"/>
      <c r="V59" s="505"/>
      <c r="W59" s="505"/>
      <c r="X59" s="505"/>
      <c r="Y59" s="505"/>
      <c r="Z59" s="505"/>
      <c r="AA59" s="505"/>
      <c r="AB59" s="505"/>
      <c r="AC59" s="505"/>
      <c r="AD59" s="505"/>
      <c r="AE59" s="505"/>
      <c r="AF59" s="505"/>
      <c r="AG59" s="505"/>
      <c r="AH59" s="506"/>
      <c r="AJ59" s="493" t="str">
        <f t="shared" ref="AJ59" si="1">IF(COUNTA(E59:AH61)=3,"○","×")</f>
        <v>×</v>
      </c>
    </row>
    <row r="60" spans="2:46" x14ac:dyDescent="0.4">
      <c r="B60" s="500"/>
      <c r="C60" s="501"/>
      <c r="D60" s="501"/>
      <c r="E60" s="523"/>
      <c r="F60" s="524"/>
      <c r="G60" s="524"/>
      <c r="H60" s="524"/>
      <c r="I60" s="524"/>
      <c r="J60" s="524"/>
      <c r="K60" s="524"/>
      <c r="L60" s="502"/>
      <c r="M60" s="503"/>
      <c r="N60" s="503"/>
      <c r="O60" s="507"/>
      <c r="P60" s="508"/>
      <c r="Q60" s="508"/>
      <c r="R60" s="508"/>
      <c r="S60" s="508"/>
      <c r="T60" s="508"/>
      <c r="U60" s="508"/>
      <c r="V60" s="508"/>
      <c r="W60" s="508"/>
      <c r="X60" s="508"/>
      <c r="Y60" s="508"/>
      <c r="Z60" s="508"/>
      <c r="AA60" s="508"/>
      <c r="AB60" s="508"/>
      <c r="AC60" s="508"/>
      <c r="AD60" s="508"/>
      <c r="AE60" s="508"/>
      <c r="AF60" s="508"/>
      <c r="AG60" s="508"/>
      <c r="AH60" s="509"/>
      <c r="AJ60" s="494"/>
    </row>
    <row r="61" spans="2:46" x14ac:dyDescent="0.4">
      <c r="B61" s="522"/>
      <c r="C61" s="522"/>
      <c r="D61" s="522"/>
      <c r="E61" s="524"/>
      <c r="F61" s="524"/>
      <c r="G61" s="524"/>
      <c r="H61" s="524"/>
      <c r="I61" s="524"/>
      <c r="J61" s="524"/>
      <c r="K61" s="524"/>
      <c r="L61" s="503"/>
      <c r="M61" s="503"/>
      <c r="N61" s="503"/>
      <c r="O61" s="510"/>
      <c r="P61" s="511"/>
      <c r="Q61" s="511"/>
      <c r="R61" s="511"/>
      <c r="S61" s="511"/>
      <c r="T61" s="511"/>
      <c r="U61" s="511"/>
      <c r="V61" s="511"/>
      <c r="W61" s="511"/>
      <c r="X61" s="511"/>
      <c r="Y61" s="511"/>
      <c r="Z61" s="511"/>
      <c r="AA61" s="511"/>
      <c r="AB61" s="511"/>
      <c r="AC61" s="511"/>
      <c r="AD61" s="511"/>
      <c r="AE61" s="511"/>
      <c r="AF61" s="511"/>
      <c r="AG61" s="511"/>
      <c r="AH61" s="512"/>
      <c r="AJ61" s="494"/>
    </row>
  </sheetData>
  <sheetProtection algorithmName="SHA-512" hashValue="RS48Bba1U3MtDt8Eiz+2YbLcoRI15+aKYQaMrE318oYRvW3PrbCn/Qs2apu0H0lX/Qci0iHdU4urSTImfoNcjg==" saltValue="0wfQzdXDf2s21NZBdlJceg==" spinCount="100000" sheet="1" objects="1" scenarios="1"/>
  <mergeCells count="85">
    <mergeCell ref="B17:AH17"/>
    <mergeCell ref="B11:AH11"/>
    <mergeCell ref="B6:AH6"/>
    <mergeCell ref="B42:AH42"/>
    <mergeCell ref="B43:AH43"/>
    <mergeCell ref="B41:AH41"/>
    <mergeCell ref="B32:AH32"/>
    <mergeCell ref="A28:AH28"/>
    <mergeCell ref="F7:G7"/>
    <mergeCell ref="H7:I7"/>
    <mergeCell ref="J7:K7"/>
    <mergeCell ref="B25:E26"/>
    <mergeCell ref="B33:AH38"/>
    <mergeCell ref="B29:O30"/>
    <mergeCell ref="B18:D18"/>
    <mergeCell ref="B19:D20"/>
    <mergeCell ref="A2:AI3"/>
    <mergeCell ref="B59:D61"/>
    <mergeCell ref="E56:K58"/>
    <mergeCell ref="E59:K61"/>
    <mergeCell ref="J8:K9"/>
    <mergeCell ref="L8:M9"/>
    <mergeCell ref="N8:O9"/>
    <mergeCell ref="B12:O13"/>
    <mergeCell ref="L7:M7"/>
    <mergeCell ref="N7:O7"/>
    <mergeCell ref="B8:C9"/>
    <mergeCell ref="D8:E9"/>
    <mergeCell ref="F8:G9"/>
    <mergeCell ref="H8:I9"/>
    <mergeCell ref="B7:C7"/>
    <mergeCell ref="D7:E7"/>
    <mergeCell ref="E18:G18"/>
    <mergeCell ref="E19:G20"/>
    <mergeCell ref="H18:J18"/>
    <mergeCell ref="H19:J20"/>
    <mergeCell ref="A24:AH24"/>
    <mergeCell ref="B23:AH23"/>
    <mergeCell ref="E53:K55"/>
    <mergeCell ref="T44:V44"/>
    <mergeCell ref="T45:V46"/>
    <mergeCell ref="B45:D46"/>
    <mergeCell ref="E45:G46"/>
    <mergeCell ref="H45:J46"/>
    <mergeCell ref="K45:M46"/>
    <mergeCell ref="N45:P46"/>
    <mergeCell ref="Q45:S46"/>
    <mergeCell ref="B44:D44"/>
    <mergeCell ref="E44:G44"/>
    <mergeCell ref="H44:J44"/>
    <mergeCell ref="K44:M44"/>
    <mergeCell ref="O52:AH52"/>
    <mergeCell ref="O53:AH55"/>
    <mergeCell ref="O56:AH58"/>
    <mergeCell ref="O59:AH61"/>
    <mergeCell ref="AC44:AE44"/>
    <mergeCell ref="AC45:AE46"/>
    <mergeCell ref="W44:Y44"/>
    <mergeCell ref="Z44:AB44"/>
    <mergeCell ref="W45:Y46"/>
    <mergeCell ref="Z45:AB46"/>
    <mergeCell ref="N44:P44"/>
    <mergeCell ref="Q44:S44"/>
    <mergeCell ref="B49:AH49"/>
    <mergeCell ref="B50:AH50"/>
    <mergeCell ref="B51:AH51"/>
    <mergeCell ref="B52:D52"/>
    <mergeCell ref="B53:D55"/>
    <mergeCell ref="B56:D58"/>
    <mergeCell ref="AJ53:AJ55"/>
    <mergeCell ref="AJ56:AJ58"/>
    <mergeCell ref="AJ59:AJ61"/>
    <mergeCell ref="AB1:AD1"/>
    <mergeCell ref="AE1:AH1"/>
    <mergeCell ref="A5:AI5"/>
    <mergeCell ref="A15:AI15"/>
    <mergeCell ref="A16:AI16"/>
    <mergeCell ref="A22:AI22"/>
    <mergeCell ref="A40:AI40"/>
    <mergeCell ref="A48:AI48"/>
    <mergeCell ref="E52:K52"/>
    <mergeCell ref="L52:N52"/>
    <mergeCell ref="L53:N55"/>
    <mergeCell ref="L56:N58"/>
    <mergeCell ref="L59:N61"/>
  </mergeCells>
  <phoneticPr fontId="1"/>
  <conditionalFormatting sqref="AE1:AH1">
    <cfRule type="containsText" dxfId="56" priority="2" operator="containsText" text="×">
      <formula>NOT(ISERROR(SEARCH("×",AE1)))</formula>
    </cfRule>
  </conditionalFormatting>
  <conditionalFormatting sqref="A5:AI5 A15:AI16 A22:AI22 A40:AI40 A48:AI48">
    <cfRule type="containsText" dxfId="55" priority="1" operator="containsText" text="×">
      <formula>NOT(ISERROR(SEARCH("×",A5)))</formula>
    </cfRule>
  </conditionalFormatting>
  <dataValidations count="11">
    <dataValidation type="list" showInputMessage="1" showErrorMessage="1" sqref="B8:O8" xr:uid="{5763EB96-F3C8-42DE-90D2-1E024534CA69}">
      <formula1>$AL$6:$AL$7</formula1>
    </dataValidation>
    <dataValidation type="list" allowBlank="1" showInputMessage="1" showErrorMessage="1" sqref="B12:O12" xr:uid="{8EB6CE1F-2339-489C-B303-3ADA29703893}">
      <formula1>$AL$11:$AL$12</formula1>
    </dataValidation>
    <dataValidation type="whole" operator="greaterThanOrEqual" allowBlank="1" showInputMessage="1" showErrorMessage="1" sqref="B25:E26" xr:uid="{7BDEB4FC-20D9-42F3-9BAF-980A1B96F173}">
      <formula1>1</formula1>
    </dataValidation>
    <dataValidation type="list" allowBlank="1" showInputMessage="1" showErrorMessage="1" sqref="B29:K30" xr:uid="{32BCA67B-20AB-465E-A1E1-9D6811719102}">
      <formula1>$AL$29:$AL$31</formula1>
    </dataValidation>
    <dataValidation type="whole" operator="greaterThanOrEqual" allowBlank="1" showInputMessage="1" showErrorMessage="1" sqref="B19:C20 E19:I20 B45:AB46" xr:uid="{41A32749-2D21-4A23-937D-C3211A42AA55}">
      <formula1>0</formula1>
    </dataValidation>
    <dataValidation type="list" allowBlank="1" showInputMessage="1" showErrorMessage="1" sqref="L53:N55" xr:uid="{2A09D2BA-0C4E-489B-A177-22A0050A6E8C}">
      <formula1>$AT$50:$AT$52</formula1>
    </dataValidation>
    <dataValidation type="list" allowBlank="1" showInputMessage="1" showErrorMessage="1" sqref="L56:N58" xr:uid="{C40E176F-DC12-4E57-93D2-BB0342020CC9}">
      <formula1>$AT$52</formula1>
    </dataValidation>
    <dataValidation type="list" allowBlank="1" showInputMessage="1" showErrorMessage="1" sqref="L59:N61" xr:uid="{46303B84-1120-4937-B4B3-326BDBC60ECF}">
      <formula1>$AT$51:$AT$52</formula1>
    </dataValidation>
    <dataValidation type="list" allowBlank="1" showInputMessage="1" showErrorMessage="1" sqref="E53:K55" xr:uid="{4BD08460-EA96-4605-9218-6FCA95136358}">
      <formula1>$AL$47:$AL$48</formula1>
    </dataValidation>
    <dataValidation type="list" allowBlank="1" showInputMessage="1" showErrorMessage="1" sqref="E56:K58" xr:uid="{603D32D4-F363-4FF0-9FFC-60D5A84E77F9}">
      <formula1>$AL$49:$AL$50</formula1>
    </dataValidation>
    <dataValidation type="list" allowBlank="1" showInputMessage="1" showErrorMessage="1" sqref="E59:K61" xr:uid="{D0225A83-3804-41F5-A4DF-14083F0E6BEB}">
      <formula1>$AL$51:$AL$52</formula1>
    </dataValidation>
  </dataValidation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55"/>
  <sheetViews>
    <sheetView showGridLines="0" view="pageBreakPreview" topLeftCell="A25" zoomScale="60" zoomScaleNormal="100" workbookViewId="0">
      <selection activeCell="AL8" sqref="AL8"/>
    </sheetView>
  </sheetViews>
  <sheetFormatPr defaultColWidth="9" defaultRowHeight="18" x14ac:dyDescent="0.4"/>
  <cols>
    <col min="1" max="36" width="3.625" style="47" customWidth="1"/>
    <col min="37" max="16384" width="9" style="47"/>
  </cols>
  <sheetData>
    <row r="1" spans="1:36" x14ac:dyDescent="0.4">
      <c r="A1" s="47">
        <v>1</v>
      </c>
      <c r="B1" s="47">
        <v>2</v>
      </c>
      <c r="C1" s="47">
        <v>3</v>
      </c>
      <c r="D1" s="47">
        <v>4</v>
      </c>
      <c r="E1" s="47">
        <v>5</v>
      </c>
      <c r="F1" s="47">
        <v>6</v>
      </c>
      <c r="G1" s="47">
        <v>7</v>
      </c>
      <c r="H1" s="47">
        <v>8</v>
      </c>
      <c r="I1" s="47">
        <v>9</v>
      </c>
      <c r="J1" s="47">
        <v>10</v>
      </c>
      <c r="K1" s="47">
        <v>11</v>
      </c>
      <c r="L1" s="47">
        <v>12</v>
      </c>
      <c r="M1" s="47">
        <v>13</v>
      </c>
      <c r="N1" s="47">
        <v>14</v>
      </c>
      <c r="O1" s="47">
        <v>15</v>
      </c>
      <c r="P1" s="47">
        <v>16</v>
      </c>
      <c r="Q1" s="47">
        <v>17</v>
      </c>
      <c r="R1" s="47">
        <v>18</v>
      </c>
      <c r="S1" s="47">
        <v>19</v>
      </c>
      <c r="T1" s="47">
        <v>20</v>
      </c>
      <c r="U1" s="47">
        <v>21</v>
      </c>
      <c r="V1" s="47">
        <v>22</v>
      </c>
      <c r="W1" s="47">
        <v>23</v>
      </c>
      <c r="X1" s="47">
        <v>24</v>
      </c>
      <c r="Y1" s="47">
        <v>25</v>
      </c>
      <c r="Z1" s="47">
        <v>26</v>
      </c>
      <c r="AA1" s="47">
        <v>27</v>
      </c>
      <c r="AB1" s="47">
        <v>28</v>
      </c>
      <c r="AC1" s="47">
        <v>29</v>
      </c>
      <c r="AD1" s="47">
        <v>30</v>
      </c>
      <c r="AE1" s="47">
        <v>31</v>
      </c>
      <c r="AF1" s="47">
        <v>32</v>
      </c>
      <c r="AG1" s="47">
        <v>33</v>
      </c>
      <c r="AH1" s="47">
        <v>34</v>
      </c>
      <c r="AI1" s="47">
        <v>35</v>
      </c>
      <c r="AJ1" s="47">
        <v>36</v>
      </c>
    </row>
    <row r="2" spans="1:36" s="128" customFormat="1" ht="24" x14ac:dyDescent="0.35">
      <c r="A2" s="19"/>
      <c r="B2" s="65"/>
      <c r="C2" s="20"/>
      <c r="D2" s="21"/>
      <c r="E2" s="21"/>
      <c r="F2" s="21"/>
      <c r="G2" s="21"/>
      <c r="H2" s="21"/>
      <c r="I2" s="21"/>
      <c r="J2" s="21"/>
      <c r="K2" s="21"/>
      <c r="L2" s="21"/>
      <c r="M2" s="21"/>
      <c r="N2" s="21"/>
      <c r="O2" s="21"/>
      <c r="P2" s="21"/>
      <c r="Q2" s="21"/>
      <c r="R2" s="21"/>
      <c r="S2" s="21"/>
      <c r="T2" s="21"/>
      <c r="U2" s="21"/>
      <c r="V2" s="21"/>
      <c r="W2" s="21"/>
      <c r="X2" s="21"/>
      <c r="Y2" s="21"/>
      <c r="Z2" s="21"/>
      <c r="AA2" s="21"/>
      <c r="AB2" s="564"/>
      <c r="AC2" s="565"/>
      <c r="AD2" s="565"/>
      <c r="AE2" s="565"/>
      <c r="AF2" s="565"/>
      <c r="AG2" s="565"/>
      <c r="AH2" s="565"/>
      <c r="AI2" s="565"/>
      <c r="AJ2" s="565"/>
    </row>
    <row r="3" spans="1:36" s="128" customFormat="1" x14ac:dyDescent="0.35">
      <c r="A3" s="574" t="s">
        <v>156</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row>
    <row r="4" spans="1:36" s="128" customFormat="1" x14ac:dyDescent="0.35">
      <c r="A4" s="574"/>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row>
    <row r="5" spans="1:36" s="128" customFormat="1" x14ac:dyDescent="0.35">
      <c r="A5" s="575"/>
      <c r="B5" s="575"/>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row>
    <row r="6" spans="1:36" s="128" customFormat="1" x14ac:dyDescent="0.35"/>
    <row r="7" spans="1:36" s="128" customFormat="1" x14ac:dyDescent="0.35">
      <c r="N7" s="571" t="str">
        <f>表紙!I9</f>
        <v>補助事業者名</v>
      </c>
      <c r="O7" s="571"/>
      <c r="P7" s="571"/>
      <c r="Q7" s="571"/>
      <c r="R7" s="571"/>
      <c r="S7" s="576" t="str">
        <f>表紙!L9</f>
        <v/>
      </c>
      <c r="T7" s="576"/>
      <c r="U7" s="576"/>
      <c r="V7" s="576"/>
      <c r="W7" s="576"/>
      <c r="X7" s="576"/>
      <c r="Y7" s="576"/>
      <c r="Z7" s="576"/>
      <c r="AA7" s="576"/>
      <c r="AB7" s="576"/>
      <c r="AC7" s="576"/>
      <c r="AD7" s="576"/>
      <c r="AE7" s="576"/>
      <c r="AF7" s="576"/>
      <c r="AG7" s="576"/>
      <c r="AH7" s="576"/>
      <c r="AI7" s="576"/>
      <c r="AJ7" s="576"/>
    </row>
    <row r="8" spans="1:36" s="128" customFormat="1" x14ac:dyDescent="0.35">
      <c r="N8" s="571"/>
      <c r="O8" s="571"/>
      <c r="P8" s="571"/>
      <c r="Q8" s="571"/>
      <c r="R8" s="571"/>
      <c r="S8" s="576"/>
      <c r="T8" s="576"/>
      <c r="U8" s="576"/>
      <c r="V8" s="576"/>
      <c r="W8" s="576"/>
      <c r="X8" s="576"/>
      <c r="Y8" s="576"/>
      <c r="Z8" s="576"/>
      <c r="AA8" s="576"/>
      <c r="AB8" s="576"/>
      <c r="AC8" s="576"/>
      <c r="AD8" s="576"/>
      <c r="AE8" s="576"/>
      <c r="AF8" s="576"/>
      <c r="AG8" s="576"/>
      <c r="AH8" s="576"/>
      <c r="AI8" s="576"/>
      <c r="AJ8" s="576"/>
    </row>
    <row r="9" spans="1:36" s="128" customFormat="1" x14ac:dyDescent="0.35">
      <c r="N9" s="571" t="str">
        <f>表紙!I8</f>
        <v>所　  在 　 地</v>
      </c>
      <c r="O9" s="571"/>
      <c r="P9" s="571"/>
      <c r="Q9" s="571"/>
      <c r="R9" s="571"/>
      <c r="S9" s="576" t="str">
        <f>表紙!L8</f>
        <v/>
      </c>
      <c r="T9" s="576"/>
      <c r="U9" s="576"/>
      <c r="V9" s="576"/>
      <c r="W9" s="576"/>
      <c r="X9" s="576"/>
      <c r="Y9" s="576"/>
      <c r="Z9" s="576"/>
      <c r="AA9" s="576"/>
      <c r="AB9" s="576"/>
      <c r="AC9" s="576"/>
      <c r="AD9" s="576"/>
      <c r="AE9" s="576"/>
      <c r="AF9" s="576"/>
      <c r="AG9" s="576"/>
      <c r="AH9" s="576"/>
      <c r="AI9" s="576"/>
      <c r="AJ9" s="576"/>
    </row>
    <row r="10" spans="1:36" s="128" customFormat="1" x14ac:dyDescent="0.35">
      <c r="N10" s="571"/>
      <c r="O10" s="571"/>
      <c r="P10" s="571"/>
      <c r="Q10" s="571"/>
      <c r="R10" s="571"/>
      <c r="S10" s="576"/>
      <c r="T10" s="576"/>
      <c r="U10" s="576"/>
      <c r="V10" s="576"/>
      <c r="W10" s="576"/>
      <c r="X10" s="576"/>
      <c r="Y10" s="576"/>
      <c r="Z10" s="576"/>
      <c r="AA10" s="576"/>
      <c r="AB10" s="576"/>
      <c r="AC10" s="576"/>
      <c r="AD10" s="576"/>
      <c r="AE10" s="576"/>
      <c r="AF10" s="576"/>
      <c r="AG10" s="576"/>
      <c r="AH10" s="576"/>
      <c r="AI10" s="576"/>
      <c r="AJ10" s="576"/>
    </row>
    <row r="11" spans="1:36" s="128" customFormat="1" x14ac:dyDescent="0.35">
      <c r="N11" s="571" t="str">
        <f>表紙!I10</f>
        <v>代表者職氏名</v>
      </c>
      <c r="O11" s="571"/>
      <c r="P11" s="571"/>
      <c r="Q11" s="571"/>
      <c r="R11" s="571"/>
      <c r="S11" s="579" t="str">
        <f>表紙!L10</f>
        <v>　</v>
      </c>
      <c r="T11" s="580"/>
      <c r="U11" s="580"/>
      <c r="V11" s="580"/>
      <c r="W11" s="580"/>
      <c r="X11" s="581"/>
      <c r="Y11" s="581"/>
      <c r="Z11" s="581"/>
      <c r="AA11" s="581"/>
      <c r="AB11" s="581"/>
      <c r="AC11" s="581"/>
      <c r="AD11" s="581"/>
      <c r="AE11" s="581"/>
      <c r="AF11" s="581"/>
      <c r="AG11" s="581"/>
      <c r="AH11" s="581"/>
      <c r="AI11" s="581"/>
      <c r="AJ11" s="582"/>
    </row>
    <row r="12" spans="1:36" s="128" customFormat="1" x14ac:dyDescent="0.35">
      <c r="N12" s="571"/>
      <c r="O12" s="571"/>
      <c r="P12" s="571"/>
      <c r="Q12" s="571"/>
      <c r="R12" s="571"/>
      <c r="S12" s="583"/>
      <c r="T12" s="584"/>
      <c r="U12" s="584"/>
      <c r="V12" s="584"/>
      <c r="W12" s="584"/>
      <c r="X12" s="585"/>
      <c r="Y12" s="585"/>
      <c r="Z12" s="585"/>
      <c r="AA12" s="585"/>
      <c r="AB12" s="585"/>
      <c r="AC12" s="585"/>
      <c r="AD12" s="585"/>
      <c r="AE12" s="585"/>
      <c r="AF12" s="585"/>
      <c r="AG12" s="585"/>
      <c r="AH12" s="585"/>
      <c r="AI12" s="585"/>
      <c r="AJ12" s="586"/>
    </row>
    <row r="13" spans="1:36" s="128" customFormat="1" x14ac:dyDescent="0.35">
      <c r="N13" s="571" t="s">
        <v>56</v>
      </c>
      <c r="O13" s="571"/>
      <c r="P13" s="571"/>
      <c r="Q13" s="571"/>
      <c r="R13" s="571"/>
      <c r="S13" s="572" t="s">
        <v>55</v>
      </c>
      <c r="T13" s="572"/>
      <c r="U13" s="572"/>
      <c r="V13" s="572"/>
      <c r="W13" s="573" t="str">
        <f>表紙!L44</f>
        <v/>
      </c>
      <c r="X13" s="573"/>
      <c r="Y13" s="573"/>
      <c r="Z13" s="573"/>
      <c r="AA13" s="573"/>
      <c r="AB13" s="573"/>
      <c r="AC13" s="573"/>
      <c r="AD13" s="573"/>
      <c r="AE13" s="573"/>
      <c r="AF13" s="573"/>
      <c r="AG13" s="573"/>
      <c r="AH13" s="573"/>
      <c r="AI13" s="573"/>
      <c r="AJ13" s="573"/>
    </row>
    <row r="14" spans="1:36" s="128" customFormat="1" x14ac:dyDescent="0.35">
      <c r="N14" s="571"/>
      <c r="O14" s="571"/>
      <c r="P14" s="571"/>
      <c r="Q14" s="571"/>
      <c r="R14" s="571"/>
      <c r="S14" s="572"/>
      <c r="T14" s="572"/>
      <c r="U14" s="572"/>
      <c r="V14" s="572"/>
      <c r="W14" s="573"/>
      <c r="X14" s="573"/>
      <c r="Y14" s="573"/>
      <c r="Z14" s="573"/>
      <c r="AA14" s="573"/>
      <c r="AB14" s="573"/>
      <c r="AC14" s="573"/>
      <c r="AD14" s="573"/>
      <c r="AE14" s="573"/>
      <c r="AF14" s="573"/>
      <c r="AG14" s="573"/>
      <c r="AH14" s="573"/>
      <c r="AI14" s="573"/>
      <c r="AJ14" s="573"/>
    </row>
    <row r="15" spans="1:36" s="128" customFormat="1" x14ac:dyDescent="0.35">
      <c r="N15" s="571"/>
      <c r="O15" s="571"/>
      <c r="P15" s="571"/>
      <c r="Q15" s="571"/>
      <c r="R15" s="571"/>
      <c r="S15" s="572" t="s">
        <v>57</v>
      </c>
      <c r="T15" s="572"/>
      <c r="U15" s="572"/>
      <c r="V15" s="572"/>
      <c r="W15" s="573" t="str">
        <f>表紙!L45</f>
        <v/>
      </c>
      <c r="X15" s="573"/>
      <c r="Y15" s="573"/>
      <c r="Z15" s="573"/>
      <c r="AA15" s="573"/>
      <c r="AB15" s="573"/>
      <c r="AC15" s="573"/>
      <c r="AD15" s="573"/>
      <c r="AE15" s="573"/>
      <c r="AF15" s="573"/>
      <c r="AG15" s="573"/>
      <c r="AH15" s="573"/>
      <c r="AI15" s="573"/>
      <c r="AJ15" s="573"/>
    </row>
    <row r="16" spans="1:36" s="128" customFormat="1" x14ac:dyDescent="0.35">
      <c r="N16" s="571"/>
      <c r="O16" s="571"/>
      <c r="P16" s="571"/>
      <c r="Q16" s="571"/>
      <c r="R16" s="571"/>
      <c r="S16" s="572"/>
      <c r="T16" s="572"/>
      <c r="U16" s="572"/>
      <c r="V16" s="572"/>
      <c r="W16" s="573"/>
      <c r="X16" s="573"/>
      <c r="Y16" s="573"/>
      <c r="Z16" s="573"/>
      <c r="AA16" s="573"/>
      <c r="AB16" s="573"/>
      <c r="AC16" s="573"/>
      <c r="AD16" s="573"/>
      <c r="AE16" s="573"/>
      <c r="AF16" s="573"/>
      <c r="AG16" s="573"/>
      <c r="AH16" s="573"/>
      <c r="AI16" s="573"/>
      <c r="AJ16" s="573"/>
    </row>
    <row r="17" spans="1:36" s="128" customFormat="1" x14ac:dyDescent="0.35">
      <c r="N17" s="571"/>
      <c r="O17" s="571"/>
      <c r="P17" s="571"/>
      <c r="Q17" s="571"/>
      <c r="R17" s="571"/>
      <c r="S17" s="572" t="s">
        <v>58</v>
      </c>
      <c r="T17" s="572"/>
      <c r="U17" s="572"/>
      <c r="V17" s="572"/>
      <c r="W17" s="587" t="str">
        <f>表紙!L46</f>
        <v/>
      </c>
      <c r="X17" s="573"/>
      <c r="Y17" s="573"/>
      <c r="Z17" s="573"/>
      <c r="AA17" s="573"/>
      <c r="AB17" s="573"/>
      <c r="AC17" s="573"/>
      <c r="AD17" s="573"/>
      <c r="AE17" s="573"/>
      <c r="AF17" s="573"/>
      <c r="AG17" s="573"/>
      <c r="AH17" s="573"/>
      <c r="AI17" s="573"/>
      <c r="AJ17" s="573"/>
    </row>
    <row r="18" spans="1:36" s="128" customFormat="1" x14ac:dyDescent="0.35">
      <c r="N18" s="571"/>
      <c r="O18" s="571"/>
      <c r="P18" s="571"/>
      <c r="Q18" s="571"/>
      <c r="R18" s="571"/>
      <c r="S18" s="572"/>
      <c r="T18" s="572"/>
      <c r="U18" s="572"/>
      <c r="V18" s="572"/>
      <c r="W18" s="573"/>
      <c r="X18" s="573"/>
      <c r="Y18" s="573"/>
      <c r="Z18" s="573"/>
      <c r="AA18" s="573"/>
      <c r="AB18" s="573"/>
      <c r="AC18" s="573"/>
      <c r="AD18" s="573"/>
      <c r="AE18" s="573"/>
      <c r="AF18" s="573"/>
      <c r="AG18" s="573"/>
      <c r="AH18" s="573"/>
      <c r="AI18" s="573"/>
      <c r="AJ18" s="573"/>
    </row>
    <row r="19" spans="1:36" s="128" customFormat="1" x14ac:dyDescent="0.35"/>
    <row r="20" spans="1:36" s="128" customFormat="1" ht="24" x14ac:dyDescent="0.5">
      <c r="A20" s="588" t="str">
        <f ca="1">"　標記の補助金交付申請（申請額："&amp;IF(表紙!H20="金　　　　　　　　　円","　　　　　　　　",TEXT(表紙!H20,"###,0"))&amp;"円）に係る振込先口座情報及び当該口座の通帳写しについては"</f>
        <v>　標記の補助金交付申請（申請額：　　　　　　　　円）に係る振込先口座情報及び当該口座の通帳写しについては</v>
      </c>
      <c r="B20" s="589"/>
      <c r="C20" s="589"/>
      <c r="D20" s="589"/>
      <c r="E20" s="589"/>
      <c r="F20" s="589"/>
      <c r="G20" s="589"/>
      <c r="H20" s="590"/>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0"/>
    </row>
    <row r="21" spans="1:36" s="128" customFormat="1" ht="24" x14ac:dyDescent="0.5">
      <c r="A21" s="22" t="s">
        <v>67</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row>
    <row r="22" spans="1:36" s="128" customFormat="1" x14ac:dyDescent="0.35"/>
    <row r="23" spans="1:36" s="128" customFormat="1" ht="24" x14ac:dyDescent="0.35">
      <c r="A23" s="591" t="s">
        <v>69</v>
      </c>
      <c r="B23" s="597" t="s">
        <v>59</v>
      </c>
      <c r="C23" s="598"/>
      <c r="D23" s="598"/>
      <c r="E23" s="598"/>
      <c r="F23" s="599"/>
      <c r="G23" s="59" t="str">
        <f>IF(はじめに入力してください!H18="","",はじめに入力してください!H18)</f>
        <v/>
      </c>
      <c r="H23" s="60" t="str">
        <f>IF(はじめに入力してください!I18="","",はじめに入力してください!I18)</f>
        <v/>
      </c>
      <c r="I23" s="60" t="str">
        <f>IF(はじめに入力してください!J18="","",はじめに入力してください!J18)</f>
        <v/>
      </c>
      <c r="J23" s="61" t="str">
        <f>IF(はじめに入力してください!K18="","",はじめに入力してください!K18)</f>
        <v/>
      </c>
      <c r="K23" s="600"/>
      <c r="L23" s="596"/>
      <c r="M23" s="596"/>
      <c r="N23" s="596"/>
      <c r="O23" s="596"/>
      <c r="P23" s="596"/>
      <c r="Q23" s="596"/>
      <c r="R23" s="596"/>
      <c r="S23" s="596"/>
      <c r="T23" s="596"/>
      <c r="U23" s="596"/>
      <c r="V23" s="596"/>
      <c r="W23" s="596"/>
      <c r="X23" s="596"/>
      <c r="Y23" s="596"/>
      <c r="Z23" s="596"/>
      <c r="AA23" s="596"/>
      <c r="AB23" s="596"/>
      <c r="AC23" s="596"/>
      <c r="AD23" s="596"/>
      <c r="AE23" s="596"/>
      <c r="AF23" s="596"/>
      <c r="AG23" s="596"/>
      <c r="AH23" s="596"/>
      <c r="AI23" s="596"/>
      <c r="AJ23" s="596"/>
    </row>
    <row r="24" spans="1:36" s="128" customFormat="1" ht="24" x14ac:dyDescent="0.35">
      <c r="A24" s="592"/>
      <c r="B24" s="566" t="s">
        <v>60</v>
      </c>
      <c r="C24" s="567"/>
      <c r="D24" s="567"/>
      <c r="E24" s="567"/>
      <c r="F24" s="567"/>
      <c r="G24" s="59" t="str">
        <f>IF(はじめに入力してください!H20="","",はじめに入力してください!H20)</f>
        <v/>
      </c>
      <c r="H24" s="60" t="str">
        <f>IF(はじめに入力してください!I20="","",はじめに入力してください!I20)</f>
        <v/>
      </c>
      <c r="I24" s="61" t="str">
        <f>IF(はじめに入力してください!J20="","",はじめに入力してください!J20)</f>
        <v/>
      </c>
      <c r="J24" s="129"/>
      <c r="K24" s="596"/>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row>
    <row r="25" spans="1:36" s="128" customFormat="1" ht="24" x14ac:dyDescent="0.35">
      <c r="A25" s="592"/>
      <c r="B25" s="568" t="s">
        <v>61</v>
      </c>
      <c r="C25" s="569"/>
      <c r="D25" s="569"/>
      <c r="E25" s="569"/>
      <c r="F25" s="570"/>
      <c r="G25" s="593" t="str">
        <f>IF(はじめに入力してください!H19="","",はじめに入力してください!H19)</f>
        <v/>
      </c>
      <c r="H25" s="594"/>
      <c r="I25" s="594"/>
      <c r="J25" s="594"/>
      <c r="K25" s="594"/>
      <c r="L25" s="594"/>
      <c r="M25" s="595"/>
      <c r="N25" s="577"/>
      <c r="O25" s="578"/>
      <c r="P25" s="578"/>
      <c r="Q25" s="578"/>
      <c r="R25" s="578"/>
      <c r="S25" s="578"/>
      <c r="T25" s="578"/>
      <c r="U25" s="578"/>
      <c r="V25" s="578"/>
      <c r="W25" s="578"/>
      <c r="X25" s="578"/>
      <c r="Y25" s="578"/>
      <c r="Z25" s="578"/>
      <c r="AA25" s="578"/>
      <c r="AB25" s="578"/>
      <c r="AC25" s="578"/>
      <c r="AD25" s="578"/>
      <c r="AE25" s="578"/>
      <c r="AF25" s="578"/>
      <c r="AG25" s="578"/>
      <c r="AH25" s="578"/>
      <c r="AI25" s="578"/>
      <c r="AJ25" s="578"/>
    </row>
    <row r="26" spans="1:36" s="128" customFormat="1" ht="24" x14ac:dyDescent="0.35">
      <c r="A26" s="592"/>
      <c r="B26" s="568" t="s">
        <v>62</v>
      </c>
      <c r="C26" s="569"/>
      <c r="D26" s="569"/>
      <c r="E26" s="569"/>
      <c r="F26" s="570"/>
      <c r="G26" s="612" t="str">
        <f>IF(はじめに入力してください!H21="","",はじめに入力してください!H21)</f>
        <v/>
      </c>
      <c r="H26" s="613"/>
      <c r="I26" s="613"/>
      <c r="J26" s="613"/>
      <c r="K26" s="613"/>
      <c r="L26" s="613"/>
      <c r="M26" s="614"/>
      <c r="N26" s="600"/>
      <c r="O26" s="596"/>
      <c r="P26" s="596"/>
      <c r="Q26" s="596"/>
      <c r="R26" s="596"/>
      <c r="S26" s="596"/>
      <c r="T26" s="596"/>
      <c r="U26" s="596"/>
      <c r="V26" s="596"/>
      <c r="W26" s="596"/>
      <c r="X26" s="596"/>
      <c r="Y26" s="596"/>
      <c r="Z26" s="596"/>
      <c r="AA26" s="596"/>
      <c r="AB26" s="596"/>
      <c r="AC26" s="596"/>
      <c r="AD26" s="596"/>
      <c r="AE26" s="596"/>
      <c r="AF26" s="596"/>
      <c r="AG26" s="596"/>
      <c r="AH26" s="596"/>
      <c r="AI26" s="596"/>
      <c r="AJ26" s="596"/>
    </row>
    <row r="27" spans="1:36" s="128" customFormat="1" ht="24" hidden="1" x14ac:dyDescent="0.35">
      <c r="A27" s="592"/>
      <c r="B27" s="615"/>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row>
    <row r="28" spans="1:36" s="128" customFormat="1" ht="24" x14ac:dyDescent="0.35">
      <c r="A28" s="592"/>
      <c r="B28" s="568" t="s">
        <v>63</v>
      </c>
      <c r="C28" s="569"/>
      <c r="D28" s="569"/>
      <c r="E28" s="569"/>
      <c r="F28" s="569"/>
      <c r="G28" s="616" t="str">
        <f>IF(はじめに入力してください!H22="","",はじめに入力してください!H22)</f>
        <v/>
      </c>
      <c r="H28" s="617"/>
      <c r="I28" s="618"/>
      <c r="J28" s="619"/>
      <c r="K28" s="619"/>
      <c r="L28" s="619"/>
      <c r="M28" s="619"/>
      <c r="N28" s="619"/>
      <c r="O28" s="619"/>
      <c r="P28" s="619"/>
      <c r="Q28" s="619"/>
      <c r="R28" s="619"/>
      <c r="S28" s="619"/>
      <c r="T28" s="619"/>
      <c r="U28" s="619"/>
      <c r="V28" s="619"/>
      <c r="W28" s="619"/>
      <c r="X28" s="619"/>
      <c r="Y28" s="619"/>
      <c r="Z28" s="619"/>
      <c r="AA28" s="619"/>
      <c r="AB28" s="619"/>
      <c r="AC28" s="619"/>
      <c r="AD28" s="619"/>
      <c r="AE28" s="619"/>
      <c r="AF28" s="619"/>
      <c r="AG28" s="619"/>
      <c r="AH28" s="619"/>
      <c r="AI28" s="619"/>
      <c r="AJ28" s="619"/>
    </row>
    <row r="29" spans="1:36" s="128" customFormat="1" ht="24" x14ac:dyDescent="0.35">
      <c r="A29" s="592"/>
      <c r="B29" s="568" t="s">
        <v>64</v>
      </c>
      <c r="C29" s="569"/>
      <c r="D29" s="569"/>
      <c r="E29" s="569"/>
      <c r="F29" s="569"/>
      <c r="G29" s="62" t="str">
        <f>IF(はじめに入力してください!H23="","",はじめに入力してください!H23)</f>
        <v/>
      </c>
      <c r="H29" s="63" t="str">
        <f>IF(はじめに入力してください!I23="","",はじめに入力してください!I23)</f>
        <v/>
      </c>
      <c r="I29" s="63" t="str">
        <f>IF(はじめに入力してください!J23="","",はじめに入力してください!J23)</f>
        <v/>
      </c>
      <c r="J29" s="63" t="str">
        <f>IF(はじめに入力してください!K23="","",はじめに入力してください!K23)</f>
        <v/>
      </c>
      <c r="K29" s="63" t="str">
        <f>IF(はじめに入力してください!L23="","",はじめに入力してください!L23)</f>
        <v/>
      </c>
      <c r="L29" s="63" t="str">
        <f>IF(はじめに入力してください!M23="","",はじめに入力してください!M23)</f>
        <v/>
      </c>
      <c r="M29" s="64" t="str">
        <f>IF(はじめに入力してください!N23="","",はじめに入力してください!N23)</f>
        <v/>
      </c>
      <c r="N29" s="620"/>
      <c r="O29" s="621"/>
      <c r="P29" s="621"/>
      <c r="Q29" s="621"/>
      <c r="R29" s="621"/>
      <c r="S29" s="621"/>
      <c r="T29" s="621"/>
      <c r="U29" s="621"/>
      <c r="V29" s="621"/>
      <c r="W29" s="621"/>
      <c r="X29" s="621"/>
      <c r="Y29" s="621"/>
      <c r="Z29" s="621"/>
      <c r="AA29" s="621"/>
      <c r="AB29" s="621"/>
      <c r="AC29" s="621"/>
      <c r="AD29" s="621"/>
      <c r="AE29" s="621"/>
      <c r="AF29" s="621"/>
      <c r="AG29" s="621"/>
      <c r="AH29" s="621"/>
      <c r="AI29" s="621"/>
      <c r="AJ29" s="621"/>
    </row>
    <row r="30" spans="1:36" s="128" customFormat="1" ht="24.75" customHeight="1" x14ac:dyDescent="0.35">
      <c r="A30" s="592"/>
      <c r="B30" s="598" t="s">
        <v>65</v>
      </c>
      <c r="C30" s="598"/>
      <c r="D30" s="598"/>
      <c r="E30" s="598"/>
      <c r="F30" s="599"/>
      <c r="G30" s="622" t="str">
        <f>IF(はじめに入力してください!H24="","",はじめに入力してください!H24)</f>
        <v/>
      </c>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row>
    <row r="31" spans="1:36" s="128" customFormat="1" ht="24" x14ac:dyDescent="0.35">
      <c r="A31" s="610" t="s">
        <v>66</v>
      </c>
      <c r="B31" s="611"/>
      <c r="C31" s="611"/>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row>
    <row r="32" spans="1:36" s="128" customFormat="1" ht="24.75" thickBot="1" x14ac:dyDescent="0.55000000000000004">
      <c r="C32" s="48"/>
    </row>
    <row r="33" spans="2:35" s="128" customFormat="1" x14ac:dyDescent="0.35">
      <c r="B33" s="601" t="s">
        <v>161</v>
      </c>
      <c r="C33" s="602"/>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3"/>
    </row>
    <row r="34" spans="2:35" s="128" customFormat="1" x14ac:dyDescent="0.35">
      <c r="B34" s="604"/>
      <c r="C34" s="605"/>
      <c r="D34" s="605"/>
      <c r="E34" s="605"/>
      <c r="F34" s="605"/>
      <c r="G34" s="605"/>
      <c r="H34" s="605"/>
      <c r="I34" s="605"/>
      <c r="J34" s="605"/>
      <c r="K34" s="605"/>
      <c r="L34" s="605"/>
      <c r="M34" s="605"/>
      <c r="N34" s="605"/>
      <c r="O34" s="605"/>
      <c r="P34" s="605"/>
      <c r="Q34" s="605"/>
      <c r="R34" s="605"/>
      <c r="S34" s="605"/>
      <c r="T34" s="605"/>
      <c r="U34" s="605"/>
      <c r="V34" s="605"/>
      <c r="W34" s="605"/>
      <c r="X34" s="605"/>
      <c r="Y34" s="605"/>
      <c r="Z34" s="605"/>
      <c r="AA34" s="605"/>
      <c r="AB34" s="605"/>
      <c r="AC34" s="605"/>
      <c r="AD34" s="605"/>
      <c r="AE34" s="605"/>
      <c r="AF34" s="605"/>
      <c r="AG34" s="605"/>
      <c r="AH34" s="605"/>
      <c r="AI34" s="606"/>
    </row>
    <row r="35" spans="2:35" s="128" customFormat="1" x14ac:dyDescent="0.35">
      <c r="B35" s="604"/>
      <c r="C35" s="605"/>
      <c r="D35" s="605"/>
      <c r="E35" s="605"/>
      <c r="F35" s="605"/>
      <c r="G35" s="605"/>
      <c r="H35" s="605"/>
      <c r="I35" s="605"/>
      <c r="J35" s="605"/>
      <c r="K35" s="605"/>
      <c r="L35" s="605"/>
      <c r="M35" s="605"/>
      <c r="N35" s="605"/>
      <c r="O35" s="605"/>
      <c r="P35" s="605"/>
      <c r="Q35" s="605"/>
      <c r="R35" s="605"/>
      <c r="S35" s="605"/>
      <c r="T35" s="605"/>
      <c r="U35" s="605"/>
      <c r="V35" s="605"/>
      <c r="W35" s="605"/>
      <c r="X35" s="605"/>
      <c r="Y35" s="605"/>
      <c r="Z35" s="605"/>
      <c r="AA35" s="605"/>
      <c r="AB35" s="605"/>
      <c r="AC35" s="605"/>
      <c r="AD35" s="605"/>
      <c r="AE35" s="605"/>
      <c r="AF35" s="605"/>
      <c r="AG35" s="605"/>
      <c r="AH35" s="605"/>
      <c r="AI35" s="606"/>
    </row>
    <row r="36" spans="2:35" s="128" customFormat="1" x14ac:dyDescent="0.35">
      <c r="B36" s="604"/>
      <c r="C36" s="605"/>
      <c r="D36" s="605"/>
      <c r="E36" s="605"/>
      <c r="F36" s="605"/>
      <c r="G36" s="605"/>
      <c r="H36" s="605"/>
      <c r="I36" s="605"/>
      <c r="J36" s="605"/>
      <c r="K36" s="605"/>
      <c r="L36" s="605"/>
      <c r="M36" s="605"/>
      <c r="N36" s="605"/>
      <c r="O36" s="605"/>
      <c r="P36" s="605"/>
      <c r="Q36" s="605"/>
      <c r="R36" s="605"/>
      <c r="S36" s="605"/>
      <c r="T36" s="605"/>
      <c r="U36" s="605"/>
      <c r="V36" s="605"/>
      <c r="W36" s="605"/>
      <c r="X36" s="605"/>
      <c r="Y36" s="605"/>
      <c r="Z36" s="605"/>
      <c r="AA36" s="605"/>
      <c r="AB36" s="605"/>
      <c r="AC36" s="605"/>
      <c r="AD36" s="605"/>
      <c r="AE36" s="605"/>
      <c r="AF36" s="605"/>
      <c r="AG36" s="605"/>
      <c r="AH36" s="605"/>
      <c r="AI36" s="606"/>
    </row>
    <row r="37" spans="2:35" s="128" customFormat="1" x14ac:dyDescent="0.35">
      <c r="B37" s="604"/>
      <c r="C37" s="605"/>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c r="AC37" s="605"/>
      <c r="AD37" s="605"/>
      <c r="AE37" s="605"/>
      <c r="AF37" s="605"/>
      <c r="AG37" s="605"/>
      <c r="AH37" s="605"/>
      <c r="AI37" s="606"/>
    </row>
    <row r="38" spans="2:35" s="128" customFormat="1" x14ac:dyDescent="0.35">
      <c r="B38" s="604"/>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c r="AG38" s="605"/>
      <c r="AH38" s="605"/>
      <c r="AI38" s="606"/>
    </row>
    <row r="39" spans="2:35" s="128" customFormat="1" x14ac:dyDescent="0.35">
      <c r="B39" s="604"/>
      <c r="C39" s="605"/>
      <c r="D39" s="605"/>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5"/>
      <c r="AF39" s="605"/>
      <c r="AG39" s="605"/>
      <c r="AH39" s="605"/>
      <c r="AI39" s="606"/>
    </row>
    <row r="40" spans="2:35" s="128" customFormat="1" x14ac:dyDescent="0.35">
      <c r="B40" s="604"/>
      <c r="C40" s="605"/>
      <c r="D40" s="605"/>
      <c r="E40" s="605"/>
      <c r="F40" s="605"/>
      <c r="G40" s="605"/>
      <c r="H40" s="605"/>
      <c r="I40" s="605"/>
      <c r="J40" s="605"/>
      <c r="K40" s="605"/>
      <c r="L40" s="605"/>
      <c r="M40" s="605"/>
      <c r="N40" s="605"/>
      <c r="O40" s="605"/>
      <c r="P40" s="605"/>
      <c r="Q40" s="605"/>
      <c r="R40" s="605"/>
      <c r="S40" s="605"/>
      <c r="T40" s="605"/>
      <c r="U40" s="605"/>
      <c r="V40" s="605"/>
      <c r="W40" s="605"/>
      <c r="X40" s="605"/>
      <c r="Y40" s="605"/>
      <c r="Z40" s="605"/>
      <c r="AA40" s="605"/>
      <c r="AB40" s="605"/>
      <c r="AC40" s="605"/>
      <c r="AD40" s="605"/>
      <c r="AE40" s="605"/>
      <c r="AF40" s="605"/>
      <c r="AG40" s="605"/>
      <c r="AH40" s="605"/>
      <c r="AI40" s="606"/>
    </row>
    <row r="41" spans="2:35" s="128" customFormat="1" x14ac:dyDescent="0.35">
      <c r="B41" s="604"/>
      <c r="C41" s="605"/>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6"/>
    </row>
    <row r="42" spans="2:35" s="128" customFormat="1" x14ac:dyDescent="0.35">
      <c r="B42" s="604"/>
      <c r="C42" s="605"/>
      <c r="D42" s="605"/>
      <c r="E42" s="605"/>
      <c r="F42" s="605"/>
      <c r="G42" s="605"/>
      <c r="H42" s="605"/>
      <c r="I42" s="605"/>
      <c r="J42" s="605"/>
      <c r="K42" s="605"/>
      <c r="L42" s="605"/>
      <c r="M42" s="605"/>
      <c r="N42" s="605"/>
      <c r="O42" s="605"/>
      <c r="P42" s="605"/>
      <c r="Q42" s="605"/>
      <c r="R42" s="605"/>
      <c r="S42" s="605"/>
      <c r="T42" s="605"/>
      <c r="U42" s="605"/>
      <c r="V42" s="605"/>
      <c r="W42" s="605"/>
      <c r="X42" s="605"/>
      <c r="Y42" s="605"/>
      <c r="Z42" s="605"/>
      <c r="AA42" s="605"/>
      <c r="AB42" s="605"/>
      <c r="AC42" s="605"/>
      <c r="AD42" s="605"/>
      <c r="AE42" s="605"/>
      <c r="AF42" s="605"/>
      <c r="AG42" s="605"/>
      <c r="AH42" s="605"/>
      <c r="AI42" s="606"/>
    </row>
    <row r="43" spans="2:35" s="128" customFormat="1" x14ac:dyDescent="0.35">
      <c r="B43" s="604"/>
      <c r="C43" s="605"/>
      <c r="D43" s="605"/>
      <c r="E43" s="605"/>
      <c r="F43" s="605"/>
      <c r="G43" s="605"/>
      <c r="H43" s="605"/>
      <c r="I43" s="605"/>
      <c r="J43" s="605"/>
      <c r="K43" s="605"/>
      <c r="L43" s="605"/>
      <c r="M43" s="605"/>
      <c r="N43" s="605"/>
      <c r="O43" s="605"/>
      <c r="P43" s="605"/>
      <c r="Q43" s="605"/>
      <c r="R43" s="605"/>
      <c r="S43" s="605"/>
      <c r="T43" s="605"/>
      <c r="U43" s="605"/>
      <c r="V43" s="605"/>
      <c r="W43" s="605"/>
      <c r="X43" s="605"/>
      <c r="Y43" s="605"/>
      <c r="Z43" s="605"/>
      <c r="AA43" s="605"/>
      <c r="AB43" s="605"/>
      <c r="AC43" s="605"/>
      <c r="AD43" s="605"/>
      <c r="AE43" s="605"/>
      <c r="AF43" s="605"/>
      <c r="AG43" s="605"/>
      <c r="AH43" s="605"/>
      <c r="AI43" s="606"/>
    </row>
    <row r="44" spans="2:35" s="128" customFormat="1" x14ac:dyDescent="0.35">
      <c r="B44" s="604"/>
      <c r="C44" s="605"/>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c r="AH44" s="605"/>
      <c r="AI44" s="606"/>
    </row>
    <row r="45" spans="2:35" s="128" customFormat="1" x14ac:dyDescent="0.35">
      <c r="B45" s="604"/>
      <c r="C45" s="605"/>
      <c r="D45" s="605"/>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c r="AI45" s="606"/>
    </row>
    <row r="46" spans="2:35" s="128" customFormat="1" x14ac:dyDescent="0.35">
      <c r="B46" s="604"/>
      <c r="C46" s="605"/>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6"/>
    </row>
    <row r="47" spans="2:35" s="128" customFormat="1" x14ac:dyDescent="0.35">
      <c r="B47" s="604"/>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6"/>
    </row>
    <row r="48" spans="2:35" s="128" customFormat="1" x14ac:dyDescent="0.35">
      <c r="B48" s="604"/>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6"/>
    </row>
    <row r="49" spans="2:35" s="128" customFormat="1" x14ac:dyDescent="0.35">
      <c r="B49" s="604"/>
      <c r="C49" s="605"/>
      <c r="D49" s="605"/>
      <c r="E49" s="605"/>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6"/>
    </row>
    <row r="50" spans="2:35" s="128" customFormat="1" x14ac:dyDescent="0.35">
      <c r="B50" s="604"/>
      <c r="C50" s="605"/>
      <c r="D50" s="605"/>
      <c r="E50" s="605"/>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5"/>
      <c r="AG50" s="605"/>
      <c r="AH50" s="605"/>
      <c r="AI50" s="606"/>
    </row>
    <row r="51" spans="2:35" s="128" customFormat="1" x14ac:dyDescent="0.35">
      <c r="B51" s="604"/>
      <c r="C51" s="605"/>
      <c r="D51" s="605"/>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6"/>
    </row>
    <row r="52" spans="2:35" s="128" customFormat="1" x14ac:dyDescent="0.35">
      <c r="B52" s="604"/>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6"/>
    </row>
    <row r="53" spans="2:35" s="128" customFormat="1" x14ac:dyDescent="0.35">
      <c r="B53" s="604"/>
      <c r="C53" s="605"/>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6"/>
    </row>
    <row r="54" spans="2:35" s="128" customFormat="1" x14ac:dyDescent="0.35">
      <c r="B54" s="604"/>
      <c r="C54" s="605"/>
      <c r="D54" s="605"/>
      <c r="E54" s="605"/>
      <c r="F54" s="605"/>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6"/>
    </row>
    <row r="55" spans="2:35" s="128" customFormat="1" ht="18.75" thickBot="1" x14ac:dyDescent="0.4">
      <c r="B55" s="607"/>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9"/>
    </row>
  </sheetData>
  <sheetProtection algorithmName="SHA-512" hashValue="SZ5oY2ye0YKjJMW49otl6lLfRrzqc2IAdRq3E59Apa7i9l+oEBkYeXdXfHSIZBtkDHukAEhM+RHMECcS/FHIYg==" saltValue="VF3tAE13+Lo11E1otXr+DQ==" spinCount="100000" sheet="1" objects="1" scenarios="1"/>
  <mergeCells count="37">
    <mergeCell ref="B33:AI55"/>
    <mergeCell ref="A31:AJ31"/>
    <mergeCell ref="B26:F26"/>
    <mergeCell ref="G26:M26"/>
    <mergeCell ref="N26:AJ26"/>
    <mergeCell ref="B27:AJ27"/>
    <mergeCell ref="B28:F28"/>
    <mergeCell ref="G28:H28"/>
    <mergeCell ref="I28:AJ28"/>
    <mergeCell ref="B29:F29"/>
    <mergeCell ref="N29:AJ29"/>
    <mergeCell ref="B30:F30"/>
    <mergeCell ref="G30:AJ30"/>
    <mergeCell ref="S17:V18"/>
    <mergeCell ref="W17:AJ18"/>
    <mergeCell ref="A20:AJ20"/>
    <mergeCell ref="A23:A30"/>
    <mergeCell ref="G25:M25"/>
    <mergeCell ref="K24:AJ24"/>
    <mergeCell ref="B23:F23"/>
    <mergeCell ref="K23:AJ23"/>
    <mergeCell ref="AB2:AJ2"/>
    <mergeCell ref="B24:F24"/>
    <mergeCell ref="B25:F25"/>
    <mergeCell ref="N13:R18"/>
    <mergeCell ref="S13:V14"/>
    <mergeCell ref="W13:AJ14"/>
    <mergeCell ref="S15:V16"/>
    <mergeCell ref="A3:AJ5"/>
    <mergeCell ref="N7:R8"/>
    <mergeCell ref="S7:AJ8"/>
    <mergeCell ref="N9:R10"/>
    <mergeCell ref="S9:AJ10"/>
    <mergeCell ref="N11:R12"/>
    <mergeCell ref="N25:AJ25"/>
    <mergeCell ref="S11:AJ12"/>
    <mergeCell ref="W15:AJ16"/>
  </mergeCells>
  <phoneticPr fontId="1"/>
  <conditionalFormatting sqref="AK22">
    <cfRule type="containsText" dxfId="54" priority="1" operator="containsText" text="不十分">
      <formula>NOT(ISERROR(SEARCH("不十分",AK22)))</formula>
    </cfRule>
    <cfRule type="containsText" dxfId="53" priority="2" operator="containsText" text="藤生bん">
      <formula>NOT(ISERROR(SEARCH("藤生bん",AK22)))</formula>
    </cfRule>
  </conditionalFormatting>
  <dataValidations count="4">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25" xr:uid="{00000000-0002-0000-0200-000000000000}"/>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9:M29" xr:uid="{00000000-0002-0000-0200-000001000000}">
      <formula1>AND(LENB(G29:M29)=LEN(G29:M29))</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4:I24" xr:uid="{00000000-0002-0000-0200-000002000000}">
      <formula1>AND(LENB(G24:I24)=LEN(G24:I24))</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3:J23" xr:uid="{00000000-0002-0000-0200-000003000000}">
      <formula1>AND(LENB(D23:G23)=LEN(D23:G23))</formula1>
    </dataValidation>
  </dataValidations>
  <pageMargins left="0.7" right="0.7" top="0.75" bottom="0.75" header="0.3" footer="0.3"/>
  <pageSetup paperSize="9" scale="6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FD539-E41C-45C2-85E4-387341A07A90}">
  <sheetPr>
    <pageSetUpPr fitToPage="1"/>
  </sheetPr>
  <dimension ref="A1:BK70"/>
  <sheetViews>
    <sheetView showGridLines="0" view="pageBreakPreview" zoomScale="60" zoomScaleNormal="50" workbookViewId="0">
      <selection activeCell="B14" sqref="B14:AU17"/>
    </sheetView>
  </sheetViews>
  <sheetFormatPr defaultColWidth="9" defaultRowHeight="33" x14ac:dyDescent="0.4"/>
  <cols>
    <col min="1" max="48" width="3.625" style="113" customWidth="1"/>
    <col min="49" max="16384" width="9" style="113"/>
  </cols>
  <sheetData>
    <row r="1" spans="1:47" x14ac:dyDescent="0.4">
      <c r="A1" s="115">
        <v>1</v>
      </c>
      <c r="B1" s="115">
        <v>2</v>
      </c>
      <c r="C1" s="115">
        <v>3</v>
      </c>
      <c r="D1" s="115">
        <v>4</v>
      </c>
      <c r="E1" s="115">
        <v>5</v>
      </c>
      <c r="F1" s="115">
        <v>6</v>
      </c>
      <c r="G1" s="115">
        <v>7</v>
      </c>
      <c r="H1" s="115">
        <v>8</v>
      </c>
      <c r="I1" s="115">
        <v>9</v>
      </c>
      <c r="J1" s="115">
        <v>10</v>
      </c>
      <c r="K1" s="115">
        <v>11</v>
      </c>
      <c r="L1" s="115">
        <v>12</v>
      </c>
      <c r="M1" s="115">
        <v>13</v>
      </c>
      <c r="N1" s="115">
        <v>14</v>
      </c>
      <c r="O1" s="115">
        <v>15</v>
      </c>
      <c r="P1" s="115">
        <v>16</v>
      </c>
      <c r="Q1" s="115">
        <v>17</v>
      </c>
      <c r="R1" s="115">
        <v>18</v>
      </c>
      <c r="S1" s="115">
        <v>19</v>
      </c>
      <c r="T1" s="115">
        <v>20</v>
      </c>
      <c r="U1" s="115">
        <v>21</v>
      </c>
      <c r="V1" s="115">
        <v>22</v>
      </c>
      <c r="W1" s="115">
        <v>23</v>
      </c>
      <c r="X1" s="115">
        <v>24</v>
      </c>
      <c r="Y1" s="115">
        <v>25</v>
      </c>
      <c r="Z1" s="115">
        <v>26</v>
      </c>
      <c r="AA1" s="115">
        <v>27</v>
      </c>
      <c r="AB1" s="115">
        <v>28</v>
      </c>
      <c r="AC1" s="115">
        <v>29</v>
      </c>
      <c r="AD1" s="115">
        <v>30</v>
      </c>
      <c r="AE1" s="115">
        <v>31</v>
      </c>
      <c r="AF1" s="115">
        <v>32</v>
      </c>
      <c r="AG1" s="115">
        <v>33</v>
      </c>
      <c r="AH1" s="115">
        <v>34</v>
      </c>
      <c r="AI1" s="115">
        <v>35</v>
      </c>
      <c r="AJ1" s="115">
        <v>36</v>
      </c>
      <c r="AK1" s="115">
        <v>37</v>
      </c>
      <c r="AL1" s="115">
        <v>38</v>
      </c>
      <c r="AM1" s="115">
        <v>39</v>
      </c>
      <c r="AN1" s="115">
        <v>40</v>
      </c>
      <c r="AO1" s="115">
        <v>41</v>
      </c>
      <c r="AP1" s="115">
        <v>42</v>
      </c>
      <c r="AQ1" s="115">
        <v>43</v>
      </c>
      <c r="AR1" s="115">
        <v>44</v>
      </c>
      <c r="AS1" s="115">
        <v>45</v>
      </c>
      <c r="AT1" s="115">
        <v>46</v>
      </c>
      <c r="AU1" s="115">
        <v>47</v>
      </c>
    </row>
    <row r="2" spans="1:47" ht="20.100000000000001" customHeight="1" x14ac:dyDescent="0.4"/>
    <row r="3" spans="1:47" ht="33" customHeight="1" x14ac:dyDescent="0.4">
      <c r="AK3" s="629" t="str">
        <f>IF(はじめに入力してください!O12="×","令和　年　月　日",はじめに入力してください!AF12)</f>
        <v>令和　年　月　日</v>
      </c>
      <c r="AL3" s="637"/>
      <c r="AM3" s="637"/>
      <c r="AN3" s="637"/>
      <c r="AO3" s="637"/>
      <c r="AP3" s="637"/>
      <c r="AQ3" s="637"/>
      <c r="AR3" s="637"/>
      <c r="AS3" s="637"/>
      <c r="AT3" s="637"/>
      <c r="AU3" s="637"/>
    </row>
    <row r="4" spans="1:47" x14ac:dyDescent="0.4">
      <c r="AK4" s="637"/>
      <c r="AL4" s="637"/>
      <c r="AM4" s="637"/>
      <c r="AN4" s="637"/>
      <c r="AO4" s="637"/>
      <c r="AP4" s="637"/>
      <c r="AQ4" s="637"/>
      <c r="AR4" s="637"/>
      <c r="AS4" s="637"/>
      <c r="AT4" s="637"/>
      <c r="AU4" s="637"/>
    </row>
    <row r="5" spans="1:47" x14ac:dyDescent="0.4">
      <c r="B5" s="629" t="s">
        <v>237</v>
      </c>
      <c r="C5" s="630"/>
      <c r="D5" s="630"/>
      <c r="E5" s="630"/>
      <c r="F5" s="630"/>
      <c r="G5" s="630"/>
      <c r="H5" s="630"/>
      <c r="I5" s="630"/>
      <c r="J5" s="642"/>
      <c r="K5" s="646"/>
      <c r="L5" s="646"/>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row>
    <row r="6" spans="1:47" ht="20.100000000000001" customHeight="1" x14ac:dyDescent="0.4">
      <c r="B6" s="123"/>
      <c r="C6" s="122"/>
      <c r="D6" s="122"/>
      <c r="E6" s="122"/>
      <c r="F6" s="122"/>
      <c r="G6" s="122"/>
      <c r="H6" s="122"/>
      <c r="I6" s="122"/>
      <c r="J6" s="121"/>
      <c r="K6" s="120"/>
      <c r="L6" s="120"/>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row>
    <row r="7" spans="1:47" ht="33" customHeight="1" x14ac:dyDescent="0.4">
      <c r="X7" s="638" t="s">
        <v>236</v>
      </c>
      <c r="Y7" s="639"/>
      <c r="Z7" s="639"/>
      <c r="AA7" s="639"/>
      <c r="AB7" s="639"/>
      <c r="AC7" s="639"/>
      <c r="AD7" s="639"/>
      <c r="AF7" s="633" t="str">
        <f>IF(はじめに入力してください!H9="","",はじめに入力してください!H9)</f>
        <v/>
      </c>
      <c r="AG7" s="634"/>
      <c r="AH7" s="634"/>
      <c r="AI7" s="634"/>
      <c r="AJ7" s="634"/>
      <c r="AK7" s="634"/>
      <c r="AL7" s="634"/>
      <c r="AM7" s="634"/>
      <c r="AN7" s="634"/>
      <c r="AO7" s="634"/>
      <c r="AP7" s="634"/>
      <c r="AQ7" s="634"/>
      <c r="AR7" s="634"/>
      <c r="AS7" s="634"/>
      <c r="AT7" s="634"/>
      <c r="AU7" s="634"/>
    </row>
    <row r="8" spans="1:47" ht="33" customHeight="1" x14ac:dyDescent="0.4">
      <c r="X8" s="638" t="s">
        <v>235</v>
      </c>
      <c r="Y8" s="639"/>
      <c r="Z8" s="639"/>
      <c r="AA8" s="639"/>
      <c r="AB8" s="639"/>
      <c r="AC8" s="639"/>
      <c r="AD8" s="639"/>
      <c r="AF8" s="633" t="str">
        <f>IF(はじめに入力してください!H6="","",はじめに入力してください!H6)</f>
        <v/>
      </c>
      <c r="AG8" s="634"/>
      <c r="AH8" s="634"/>
      <c r="AI8" s="634"/>
      <c r="AJ8" s="634"/>
      <c r="AK8" s="634"/>
      <c r="AL8" s="634"/>
      <c r="AM8" s="634"/>
      <c r="AN8" s="634"/>
      <c r="AO8" s="634"/>
      <c r="AP8" s="634"/>
      <c r="AQ8" s="634"/>
      <c r="AR8" s="634"/>
      <c r="AS8" s="634"/>
      <c r="AT8" s="634"/>
      <c r="AU8" s="634"/>
    </row>
    <row r="9" spans="1:47" ht="33" customHeight="1" x14ac:dyDescent="0.4">
      <c r="X9" s="638" t="s">
        <v>234</v>
      </c>
      <c r="Y9" s="639"/>
      <c r="Z9" s="639"/>
      <c r="AA9" s="639"/>
      <c r="AB9" s="639"/>
      <c r="AC9" s="639"/>
      <c r="AD9" s="639"/>
      <c r="AF9" s="633" t="str">
        <f>IF(はじめに入力してください!H7="","",はじめに入力してください!H7)</f>
        <v/>
      </c>
      <c r="AG9" s="634"/>
      <c r="AH9" s="634"/>
      <c r="AI9" s="634"/>
      <c r="AJ9" s="634"/>
      <c r="AK9" s="119"/>
      <c r="AL9" s="633" t="str">
        <f>IF(はじめに入力してください!H8="","",はじめに入力してください!H8)</f>
        <v/>
      </c>
      <c r="AM9" s="633"/>
      <c r="AN9" s="633"/>
      <c r="AO9" s="633"/>
      <c r="AP9" s="633"/>
      <c r="AQ9" s="633"/>
      <c r="AR9" s="633"/>
      <c r="AS9" s="633"/>
      <c r="AT9" s="633"/>
      <c r="AU9" s="633"/>
    </row>
    <row r="10" spans="1:47" ht="20.100000000000001" customHeight="1" x14ac:dyDescent="0.4"/>
    <row r="11" spans="1:47" x14ac:dyDescent="0.4">
      <c r="B11" s="640" t="s">
        <v>388</v>
      </c>
      <c r="C11" s="641"/>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641"/>
      <c r="AJ11" s="641"/>
      <c r="AK11" s="641"/>
      <c r="AL11" s="641"/>
      <c r="AM11" s="641"/>
      <c r="AN11" s="641"/>
      <c r="AO11" s="641"/>
      <c r="AP11" s="641"/>
      <c r="AQ11" s="641"/>
      <c r="AR11" s="641"/>
      <c r="AS11" s="641"/>
      <c r="AT11" s="641"/>
      <c r="AU11" s="641"/>
    </row>
    <row r="12" spans="1:47" x14ac:dyDescent="0.4">
      <c r="B12" s="641"/>
      <c r="C12" s="641"/>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641"/>
      <c r="AR12" s="641"/>
      <c r="AS12" s="641"/>
      <c r="AT12" s="641"/>
      <c r="AU12" s="641"/>
    </row>
    <row r="13" spans="1:47" ht="20.100000000000001" customHeight="1" x14ac:dyDescent="0.4">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row>
    <row r="14" spans="1:47" x14ac:dyDescent="0.4">
      <c r="B14" s="635" t="s">
        <v>233</v>
      </c>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6"/>
      <c r="AP14" s="636"/>
      <c r="AQ14" s="636"/>
      <c r="AR14" s="636"/>
      <c r="AS14" s="636"/>
      <c r="AT14" s="636"/>
      <c r="AU14" s="636"/>
    </row>
    <row r="15" spans="1:47" x14ac:dyDescent="0.4">
      <c r="B15" s="636"/>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6"/>
      <c r="AL15" s="636"/>
      <c r="AM15" s="636"/>
      <c r="AN15" s="636"/>
      <c r="AO15" s="636"/>
      <c r="AP15" s="636"/>
      <c r="AQ15" s="636"/>
      <c r="AR15" s="636"/>
      <c r="AS15" s="636"/>
      <c r="AT15" s="636"/>
      <c r="AU15" s="636"/>
    </row>
    <row r="16" spans="1:47" x14ac:dyDescent="0.4">
      <c r="B16" s="636"/>
      <c r="C16" s="636"/>
      <c r="D16" s="636"/>
      <c r="E16" s="636"/>
      <c r="F16" s="636"/>
      <c r="G16" s="636"/>
      <c r="H16" s="636"/>
      <c r="I16" s="636"/>
      <c r="J16" s="636"/>
      <c r="K16" s="636"/>
      <c r="L16" s="636"/>
      <c r="M16" s="636"/>
      <c r="N16" s="636"/>
      <c r="O16" s="636"/>
      <c r="P16" s="636"/>
      <c r="Q16" s="636"/>
      <c r="R16" s="636"/>
      <c r="S16" s="636"/>
      <c r="T16" s="636"/>
      <c r="U16" s="636"/>
      <c r="V16" s="636"/>
      <c r="W16" s="636"/>
      <c r="X16" s="636"/>
      <c r="Y16" s="636"/>
      <c r="Z16" s="636"/>
      <c r="AA16" s="636"/>
      <c r="AB16" s="636"/>
      <c r="AC16" s="636"/>
      <c r="AD16" s="636"/>
      <c r="AE16" s="636"/>
      <c r="AF16" s="636"/>
      <c r="AG16" s="636"/>
      <c r="AH16" s="636"/>
      <c r="AI16" s="636"/>
      <c r="AJ16" s="636"/>
      <c r="AK16" s="636"/>
      <c r="AL16" s="636"/>
      <c r="AM16" s="636"/>
      <c r="AN16" s="636"/>
      <c r="AO16" s="636"/>
      <c r="AP16" s="636"/>
      <c r="AQ16" s="636"/>
      <c r="AR16" s="636"/>
      <c r="AS16" s="636"/>
      <c r="AT16" s="636"/>
      <c r="AU16" s="636"/>
    </row>
    <row r="17" spans="2:47" x14ac:dyDescent="0.4">
      <c r="B17" s="642"/>
      <c r="C17" s="642"/>
      <c r="D17" s="642"/>
      <c r="E17" s="642"/>
      <c r="F17" s="642"/>
      <c r="G17" s="642"/>
      <c r="H17" s="642"/>
      <c r="I17" s="642"/>
      <c r="J17" s="642"/>
      <c r="K17" s="642"/>
      <c r="L17" s="642"/>
      <c r="M17" s="642"/>
      <c r="N17" s="642"/>
      <c r="O17" s="642"/>
      <c r="P17" s="642"/>
      <c r="Q17" s="642"/>
      <c r="R17" s="642"/>
      <c r="S17" s="642"/>
      <c r="T17" s="642"/>
      <c r="U17" s="642"/>
      <c r="V17" s="642"/>
      <c r="W17" s="642"/>
      <c r="X17" s="642"/>
      <c r="Y17" s="642"/>
      <c r="Z17" s="642"/>
      <c r="AA17" s="642"/>
      <c r="AB17" s="642"/>
      <c r="AC17" s="642"/>
      <c r="AD17" s="642"/>
      <c r="AE17" s="642"/>
      <c r="AF17" s="642"/>
      <c r="AG17" s="642"/>
      <c r="AH17" s="642"/>
      <c r="AI17" s="642"/>
      <c r="AJ17" s="642"/>
      <c r="AK17" s="642"/>
      <c r="AL17" s="642"/>
      <c r="AM17" s="642"/>
      <c r="AN17" s="642"/>
      <c r="AO17" s="642"/>
      <c r="AP17" s="642"/>
      <c r="AQ17" s="642"/>
      <c r="AR17" s="642"/>
      <c r="AS17" s="642"/>
      <c r="AT17" s="642"/>
      <c r="AU17" s="642"/>
    </row>
    <row r="18" spans="2:47" ht="20.100000000000001" customHeight="1" x14ac:dyDescent="0.4"/>
    <row r="19" spans="2:47" x14ac:dyDescent="0.4">
      <c r="B19" s="627" t="s">
        <v>232</v>
      </c>
      <c r="C19" s="636"/>
      <c r="D19" s="636"/>
      <c r="E19" s="636"/>
      <c r="F19" s="636"/>
      <c r="G19" s="636"/>
      <c r="H19" s="636"/>
      <c r="I19" s="636"/>
      <c r="J19" s="636"/>
      <c r="K19" s="636"/>
      <c r="L19" s="636"/>
      <c r="M19" s="636"/>
      <c r="N19" s="636"/>
      <c r="O19" s="636"/>
      <c r="P19" s="636"/>
      <c r="Q19" s="636"/>
      <c r="R19" s="636"/>
      <c r="S19" s="636"/>
      <c r="T19" s="636"/>
      <c r="U19" s="636"/>
      <c r="V19" s="636"/>
      <c r="W19" s="636"/>
      <c r="X19" s="636"/>
      <c r="Y19" s="636"/>
      <c r="Z19" s="636"/>
      <c r="AA19" s="636"/>
      <c r="AB19" s="636"/>
      <c r="AC19" s="636"/>
      <c r="AD19" s="636"/>
      <c r="AE19" s="636"/>
      <c r="AF19" s="636"/>
      <c r="AG19" s="636"/>
      <c r="AH19" s="636"/>
      <c r="AI19" s="636"/>
      <c r="AJ19" s="636"/>
      <c r="AK19" s="636"/>
      <c r="AL19" s="636"/>
      <c r="AM19" s="636"/>
      <c r="AN19" s="636"/>
      <c r="AO19" s="636"/>
      <c r="AP19" s="636"/>
      <c r="AQ19" s="636"/>
      <c r="AR19" s="636"/>
      <c r="AS19" s="636"/>
      <c r="AT19" s="636"/>
      <c r="AU19" s="636"/>
    </row>
    <row r="20" spans="2:47" x14ac:dyDescent="0.4">
      <c r="C20" s="145"/>
      <c r="D20" s="633" t="str">
        <f>IF(はじめに入力してください!H10="","",はじめに入力してください!H10)</f>
        <v/>
      </c>
      <c r="E20" s="645"/>
      <c r="F20" s="645"/>
      <c r="G20" s="645"/>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c r="AK20" s="645"/>
      <c r="AL20" s="645"/>
      <c r="AM20" s="645"/>
      <c r="AN20" s="645"/>
      <c r="AO20" s="645"/>
      <c r="AP20" s="645"/>
      <c r="AQ20" s="645"/>
      <c r="AR20" s="645"/>
      <c r="AS20" s="645"/>
      <c r="AT20" s="645"/>
      <c r="AU20" s="645"/>
    </row>
    <row r="21" spans="2:47" x14ac:dyDescent="0.4">
      <c r="C21" s="145"/>
      <c r="D21" s="633" t="str">
        <f>IF(はじめに入力してください!H11="","",はじめに入力してください!H11)</f>
        <v/>
      </c>
      <c r="E21" s="645"/>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c r="AN21" s="645"/>
      <c r="AO21" s="645"/>
      <c r="AP21" s="645"/>
      <c r="AQ21" s="645"/>
      <c r="AR21" s="645"/>
      <c r="AS21" s="645"/>
      <c r="AT21" s="645"/>
      <c r="AU21" s="645"/>
    </row>
    <row r="22" spans="2:47" ht="20.100000000000001" customHeight="1" x14ac:dyDescent="0.4">
      <c r="B22" s="631"/>
      <c r="C22" s="632"/>
      <c r="D22" s="632"/>
      <c r="E22" s="632"/>
      <c r="F22" s="632"/>
      <c r="G22" s="632"/>
      <c r="H22" s="632"/>
      <c r="I22" s="632"/>
      <c r="J22" s="632"/>
      <c r="K22" s="632"/>
      <c r="L22" s="632"/>
      <c r="M22" s="632"/>
      <c r="N22" s="632"/>
      <c r="O22" s="632"/>
      <c r="P22" s="632"/>
      <c r="Q22" s="632"/>
      <c r="R22" s="632"/>
      <c r="S22" s="632"/>
      <c r="T22" s="632"/>
      <c r="U22" s="632"/>
      <c r="V22" s="632"/>
      <c r="W22" s="632"/>
      <c r="X22" s="632"/>
      <c r="Y22" s="632"/>
      <c r="Z22" s="632"/>
      <c r="AA22" s="632"/>
      <c r="AB22" s="632"/>
      <c r="AC22" s="632"/>
      <c r="AD22" s="632"/>
      <c r="AE22" s="632"/>
      <c r="AF22" s="632"/>
      <c r="AG22" s="632"/>
      <c r="AH22" s="632"/>
      <c r="AI22" s="632"/>
      <c r="AJ22" s="632"/>
      <c r="AK22" s="632"/>
      <c r="AL22" s="632"/>
      <c r="AM22" s="632"/>
      <c r="AN22" s="632"/>
      <c r="AO22" s="632"/>
      <c r="AP22" s="632"/>
      <c r="AQ22" s="632"/>
      <c r="AR22" s="632"/>
      <c r="AS22" s="632"/>
      <c r="AT22" s="632"/>
      <c r="AU22" s="632"/>
    </row>
    <row r="23" spans="2:47" x14ac:dyDescent="0.4">
      <c r="B23" s="627" t="s">
        <v>231</v>
      </c>
      <c r="C23" s="636"/>
      <c r="D23" s="636"/>
      <c r="E23" s="636"/>
      <c r="F23" s="636"/>
      <c r="G23" s="636"/>
      <c r="H23" s="636"/>
      <c r="I23" s="636"/>
      <c r="J23" s="636"/>
      <c r="K23" s="636"/>
      <c r="L23" s="636"/>
      <c r="M23" s="636"/>
      <c r="N23" s="636"/>
      <c r="O23" s="636"/>
      <c r="P23" s="636"/>
      <c r="Q23" s="636"/>
      <c r="R23" s="636"/>
      <c r="S23" s="636"/>
      <c r="T23" s="636"/>
      <c r="U23" s="636"/>
      <c r="V23" s="636"/>
      <c r="W23" s="636"/>
      <c r="X23" s="636"/>
      <c r="Y23" s="636"/>
      <c r="Z23" s="636"/>
      <c r="AA23" s="636"/>
      <c r="AB23" s="636"/>
      <c r="AC23" s="636"/>
      <c r="AD23" s="636"/>
      <c r="AE23" s="636"/>
      <c r="AF23" s="636"/>
      <c r="AG23" s="636"/>
      <c r="AH23" s="636"/>
      <c r="AI23" s="636"/>
      <c r="AJ23" s="636"/>
      <c r="AK23" s="636"/>
      <c r="AL23" s="636"/>
      <c r="AM23" s="636"/>
      <c r="AN23" s="636"/>
      <c r="AO23" s="636"/>
      <c r="AP23" s="636"/>
      <c r="AQ23" s="636"/>
      <c r="AR23" s="636"/>
      <c r="AS23" s="636"/>
      <c r="AT23" s="636"/>
      <c r="AU23" s="636"/>
    </row>
    <row r="24" spans="2:47" x14ac:dyDescent="0.4">
      <c r="C24" s="144"/>
      <c r="D24" s="643" t="str">
        <f ca="1">IF(経費書!I16&gt;0,経費書!I18,"金　　　　　　　　円")</f>
        <v>金　　　　　　　　円</v>
      </c>
      <c r="E24" s="644"/>
      <c r="F24" s="644"/>
      <c r="G24" s="644"/>
      <c r="H24" s="644"/>
      <c r="I24" s="644"/>
      <c r="J24" s="644"/>
      <c r="K24" s="644"/>
      <c r="L24" s="644"/>
      <c r="M24" s="645"/>
      <c r="N24" s="645"/>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row>
    <row r="25" spans="2:47" ht="20.100000000000001" customHeight="1" x14ac:dyDescent="0.4"/>
    <row r="26" spans="2:47" x14ac:dyDescent="0.4">
      <c r="B26" s="627" t="s">
        <v>230</v>
      </c>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636"/>
      <c r="AB26" s="636"/>
      <c r="AC26" s="636"/>
      <c r="AD26" s="636"/>
      <c r="AE26" s="636"/>
      <c r="AF26" s="636"/>
      <c r="AG26" s="636"/>
      <c r="AH26" s="636"/>
      <c r="AI26" s="636"/>
      <c r="AJ26" s="636"/>
      <c r="AK26" s="636"/>
      <c r="AL26" s="636"/>
      <c r="AM26" s="636"/>
      <c r="AN26" s="636"/>
      <c r="AO26" s="636"/>
      <c r="AP26" s="636"/>
      <c r="AQ26" s="636"/>
      <c r="AR26" s="636"/>
      <c r="AS26" s="636"/>
      <c r="AT26" s="636"/>
      <c r="AU26" s="636"/>
    </row>
    <row r="27" spans="2:47" x14ac:dyDescent="0.4">
      <c r="B27" s="627" t="s">
        <v>229</v>
      </c>
      <c r="C27" s="636"/>
      <c r="D27" s="636"/>
      <c r="E27" s="636"/>
      <c r="F27" s="636"/>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c r="AH27" s="636"/>
      <c r="AI27" s="636"/>
      <c r="AJ27" s="636"/>
      <c r="AK27" s="636"/>
      <c r="AL27" s="636"/>
      <c r="AM27" s="636"/>
      <c r="AN27" s="636"/>
      <c r="AO27" s="636"/>
      <c r="AP27" s="636"/>
      <c r="AQ27" s="636"/>
      <c r="AR27" s="636"/>
      <c r="AS27" s="636"/>
      <c r="AT27" s="636"/>
      <c r="AU27" s="636"/>
    </row>
    <row r="28" spans="2:47" x14ac:dyDescent="0.4">
      <c r="B28" s="627" t="s">
        <v>228</v>
      </c>
      <c r="C28" s="636"/>
      <c r="D28" s="636"/>
      <c r="E28" s="636"/>
      <c r="F28" s="636"/>
      <c r="G28" s="636"/>
      <c r="H28" s="636"/>
      <c r="I28" s="636"/>
      <c r="J28" s="636"/>
      <c r="K28" s="636"/>
      <c r="L28" s="636"/>
      <c r="M28" s="636"/>
      <c r="N28" s="636"/>
      <c r="O28" s="636"/>
      <c r="P28" s="636"/>
      <c r="Q28" s="636"/>
      <c r="R28" s="636"/>
      <c r="S28" s="636"/>
      <c r="T28" s="636"/>
      <c r="U28" s="636"/>
      <c r="V28" s="636"/>
      <c r="W28" s="636"/>
      <c r="X28" s="636"/>
      <c r="Y28" s="636"/>
      <c r="Z28" s="636"/>
      <c r="AA28" s="636"/>
      <c r="AB28" s="636"/>
      <c r="AC28" s="636"/>
      <c r="AD28" s="636"/>
      <c r="AE28" s="636"/>
      <c r="AF28" s="636"/>
      <c r="AG28" s="636"/>
      <c r="AH28" s="636"/>
      <c r="AI28" s="636"/>
      <c r="AJ28" s="636"/>
      <c r="AK28" s="636"/>
      <c r="AL28" s="636"/>
      <c r="AM28" s="636"/>
      <c r="AN28" s="636"/>
      <c r="AO28" s="636"/>
      <c r="AP28" s="636"/>
      <c r="AQ28" s="636"/>
      <c r="AR28" s="636"/>
      <c r="AS28" s="636"/>
      <c r="AT28" s="636"/>
      <c r="AU28" s="636"/>
    </row>
    <row r="29" spans="2:47" x14ac:dyDescent="0.4">
      <c r="B29" s="627" t="s">
        <v>227</v>
      </c>
      <c r="C29" s="636"/>
      <c r="D29" s="636"/>
      <c r="E29" s="636"/>
      <c r="F29" s="636"/>
      <c r="G29" s="636"/>
      <c r="H29" s="636"/>
      <c r="I29" s="636"/>
      <c r="J29" s="636"/>
      <c r="K29" s="636"/>
      <c r="L29" s="636"/>
      <c r="M29" s="636"/>
      <c r="N29" s="636"/>
      <c r="O29" s="636"/>
      <c r="P29" s="636"/>
      <c r="Q29" s="636"/>
      <c r="R29" s="636"/>
      <c r="S29" s="636"/>
      <c r="T29" s="636"/>
      <c r="U29" s="636"/>
      <c r="V29" s="636"/>
      <c r="W29" s="636"/>
      <c r="X29" s="636"/>
      <c r="Y29" s="636"/>
      <c r="Z29" s="636"/>
      <c r="AA29" s="636"/>
      <c r="AB29" s="636"/>
      <c r="AC29" s="636"/>
      <c r="AD29" s="636"/>
      <c r="AE29" s="636"/>
      <c r="AF29" s="636"/>
      <c r="AG29" s="636"/>
      <c r="AH29" s="636"/>
      <c r="AI29" s="636"/>
      <c r="AJ29" s="636"/>
      <c r="AK29" s="636"/>
      <c r="AL29" s="636"/>
      <c r="AM29" s="636"/>
      <c r="AN29" s="636"/>
      <c r="AO29" s="636"/>
      <c r="AP29" s="636"/>
      <c r="AQ29" s="636"/>
      <c r="AR29" s="636"/>
      <c r="AS29" s="636"/>
      <c r="AT29" s="636"/>
      <c r="AU29" s="636"/>
    </row>
    <row r="30" spans="2:47" x14ac:dyDescent="0.4">
      <c r="B30" s="627" t="s">
        <v>226</v>
      </c>
      <c r="C30" s="636"/>
      <c r="D30" s="636"/>
      <c r="E30" s="636"/>
      <c r="F30" s="636"/>
      <c r="G30" s="636"/>
      <c r="H30" s="636"/>
      <c r="I30" s="636"/>
      <c r="J30" s="636"/>
      <c r="K30" s="636"/>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636"/>
      <c r="AR30" s="636"/>
      <c r="AS30" s="636"/>
      <c r="AT30" s="636"/>
      <c r="AU30" s="636"/>
    </row>
    <row r="31" spans="2:47" x14ac:dyDescent="0.4">
      <c r="B31" s="627" t="s">
        <v>225</v>
      </c>
      <c r="C31" s="636"/>
      <c r="D31" s="636"/>
      <c r="E31" s="636"/>
      <c r="F31" s="636"/>
      <c r="G31" s="636"/>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6"/>
      <c r="AL31" s="636"/>
      <c r="AM31" s="636"/>
      <c r="AN31" s="636"/>
      <c r="AO31" s="636"/>
      <c r="AP31" s="636"/>
      <c r="AQ31" s="636"/>
      <c r="AR31" s="636"/>
      <c r="AS31" s="636"/>
      <c r="AT31" s="636"/>
      <c r="AU31" s="636"/>
    </row>
    <row r="32" spans="2:47" ht="20.100000000000001" customHeight="1" x14ac:dyDescent="0.4"/>
    <row r="33" spans="2:47" ht="33" customHeight="1" x14ac:dyDescent="0.4">
      <c r="Z33" s="629" t="s">
        <v>216</v>
      </c>
      <c r="AA33" s="637"/>
      <c r="AB33" s="637"/>
      <c r="AC33" s="637"/>
      <c r="AD33" s="637"/>
      <c r="AE33" s="637"/>
      <c r="AF33" s="637"/>
      <c r="AG33" s="637"/>
      <c r="AI33" s="633" t="str">
        <f>IF(はじめに入力してください!H14="","",はじめに入力してください!H14)</f>
        <v/>
      </c>
      <c r="AJ33" s="634"/>
      <c r="AK33" s="634"/>
      <c r="AL33" s="634"/>
      <c r="AM33" s="634"/>
      <c r="AN33" s="634"/>
      <c r="AO33" s="634"/>
      <c r="AP33" s="634"/>
      <c r="AQ33" s="634"/>
      <c r="AR33" s="634"/>
      <c r="AS33" s="634"/>
      <c r="AT33" s="634"/>
      <c r="AU33" s="634"/>
    </row>
    <row r="34" spans="2:47" ht="33" customHeight="1" x14ac:dyDescent="0.4">
      <c r="Z34" s="629" t="s">
        <v>224</v>
      </c>
      <c r="AA34" s="637"/>
      <c r="AB34" s="637"/>
      <c r="AC34" s="637"/>
      <c r="AD34" s="637"/>
      <c r="AE34" s="637"/>
      <c r="AF34" s="637"/>
      <c r="AG34" s="637"/>
      <c r="AI34" s="633" t="str">
        <f>IF(はじめに入力してください!H15="","",はじめに入力してください!H15)</f>
        <v/>
      </c>
      <c r="AJ34" s="634"/>
      <c r="AK34" s="634"/>
      <c r="AL34" s="634"/>
      <c r="AM34" s="634"/>
      <c r="AN34" s="634"/>
      <c r="AO34" s="634"/>
      <c r="AP34" s="634"/>
      <c r="AQ34" s="634"/>
      <c r="AR34" s="634"/>
      <c r="AS34" s="634"/>
      <c r="AT34" s="634"/>
      <c r="AU34" s="634"/>
    </row>
    <row r="35" spans="2:47" ht="33" customHeight="1" x14ac:dyDescent="0.4">
      <c r="Z35" s="629" t="s">
        <v>215</v>
      </c>
      <c r="AA35" s="637"/>
      <c r="AB35" s="637"/>
      <c r="AC35" s="637"/>
      <c r="AD35" s="637"/>
      <c r="AE35" s="637"/>
      <c r="AF35" s="637"/>
      <c r="AG35" s="637"/>
      <c r="AI35" s="633" t="str">
        <f>IF(はじめに入力してください!AF16="","",はじめに入力してください!AF16)</f>
        <v/>
      </c>
      <c r="AJ35" s="634"/>
      <c r="AK35" s="634"/>
      <c r="AL35" s="634"/>
      <c r="AM35" s="634"/>
      <c r="AN35" s="634"/>
      <c r="AO35" s="634"/>
      <c r="AP35" s="634"/>
      <c r="AQ35" s="634"/>
      <c r="AR35" s="634"/>
      <c r="AS35" s="634"/>
      <c r="AT35" s="634"/>
      <c r="AU35" s="634"/>
    </row>
    <row r="36" spans="2:47" ht="33" customHeight="1" x14ac:dyDescent="0.4">
      <c r="Z36" s="629" t="s">
        <v>223</v>
      </c>
      <c r="AA36" s="637"/>
      <c r="AB36" s="637"/>
      <c r="AC36" s="637"/>
      <c r="AD36" s="637"/>
      <c r="AE36" s="637"/>
      <c r="AF36" s="637"/>
      <c r="AG36" s="637"/>
      <c r="AI36" s="633" t="str">
        <f>IF(はじめに入力してください!AF17="","",はじめに入力してください!AF17)</f>
        <v/>
      </c>
      <c r="AJ36" s="634"/>
      <c r="AK36" s="634"/>
      <c r="AL36" s="634"/>
      <c r="AM36" s="634"/>
      <c r="AN36" s="634"/>
      <c r="AO36" s="634"/>
      <c r="AP36" s="634"/>
      <c r="AQ36" s="634"/>
      <c r="AR36" s="634"/>
      <c r="AS36" s="634"/>
      <c r="AT36" s="634"/>
      <c r="AU36" s="634"/>
    </row>
    <row r="37" spans="2:47" ht="20.100000000000001" customHeight="1" x14ac:dyDescent="0.4"/>
    <row r="38" spans="2:47" x14ac:dyDescent="0.4">
      <c r="B38" s="627" t="s">
        <v>222</v>
      </c>
      <c r="C38" s="636"/>
      <c r="D38" s="636"/>
      <c r="E38" s="636"/>
      <c r="F38" s="636"/>
      <c r="G38" s="636"/>
      <c r="H38" s="636"/>
      <c r="I38" s="636"/>
      <c r="J38" s="636"/>
      <c r="K38" s="636"/>
      <c r="L38" s="636"/>
      <c r="M38" s="636"/>
      <c r="N38" s="636"/>
      <c r="O38" s="636"/>
      <c r="P38" s="636"/>
      <c r="Q38" s="636"/>
      <c r="R38" s="636"/>
      <c r="S38" s="636"/>
      <c r="T38" s="636"/>
      <c r="U38" s="636"/>
      <c r="V38" s="636"/>
      <c r="W38" s="636"/>
      <c r="X38" s="636"/>
      <c r="Y38" s="636"/>
      <c r="Z38" s="636"/>
      <c r="AA38" s="636"/>
      <c r="AB38" s="636"/>
      <c r="AC38" s="636"/>
      <c r="AD38" s="636"/>
      <c r="AE38" s="636"/>
      <c r="AF38" s="636"/>
      <c r="AG38" s="636"/>
      <c r="AH38" s="636"/>
      <c r="AI38" s="636"/>
      <c r="AJ38" s="636"/>
      <c r="AK38" s="636"/>
      <c r="AL38" s="636"/>
      <c r="AM38" s="636"/>
      <c r="AN38" s="636"/>
      <c r="AO38" s="636"/>
      <c r="AP38" s="636"/>
      <c r="AQ38" s="636"/>
      <c r="AR38" s="636"/>
      <c r="AS38" s="636"/>
      <c r="AT38" s="636"/>
      <c r="AU38" s="636"/>
    </row>
    <row r="39" spans="2:47" x14ac:dyDescent="0.4">
      <c r="B39" s="635" t="str">
        <f>IF(AX55="回答",AX56,"")</f>
        <v/>
      </c>
      <c r="C39" s="636"/>
      <c r="D39" s="636"/>
      <c r="E39" s="636"/>
      <c r="F39" s="636"/>
      <c r="G39" s="636"/>
      <c r="H39" s="636"/>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6"/>
      <c r="AP39" s="636"/>
      <c r="AQ39" s="636"/>
      <c r="AR39" s="636"/>
      <c r="AS39" s="636"/>
      <c r="AT39" s="636"/>
      <c r="AU39" s="636"/>
    </row>
    <row r="40" spans="2:47" x14ac:dyDescent="0.4">
      <c r="B40" s="636"/>
      <c r="C40" s="636"/>
      <c r="D40" s="636"/>
      <c r="E40" s="636"/>
      <c r="F40" s="636"/>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6"/>
      <c r="AL40" s="636"/>
      <c r="AM40" s="636"/>
      <c r="AN40" s="636"/>
      <c r="AO40" s="636"/>
      <c r="AP40" s="636"/>
      <c r="AQ40" s="636"/>
      <c r="AR40" s="636"/>
      <c r="AS40" s="636"/>
      <c r="AT40" s="636"/>
      <c r="AU40" s="636"/>
    </row>
    <row r="41" spans="2:47" x14ac:dyDescent="0.4">
      <c r="B41" s="626" t="s">
        <v>221</v>
      </c>
      <c r="C41" s="625"/>
      <c r="D41" s="625"/>
      <c r="E41" s="625"/>
      <c r="F41" s="625"/>
      <c r="G41" s="625"/>
      <c r="H41" s="625"/>
      <c r="I41" s="625"/>
      <c r="J41" s="625"/>
      <c r="K41" s="625"/>
      <c r="L41" s="626"/>
      <c r="M41" s="625"/>
      <c r="N41" s="625"/>
      <c r="O41" s="625"/>
      <c r="P41" s="625"/>
      <c r="Q41" s="625"/>
      <c r="R41" s="625"/>
      <c r="S41" s="625"/>
      <c r="T41" s="625"/>
      <c r="U41" s="625"/>
      <c r="V41" s="625"/>
      <c r="W41" s="625"/>
      <c r="X41" s="625"/>
      <c r="Y41" s="625"/>
      <c r="Z41" s="625"/>
      <c r="AA41" s="625"/>
      <c r="AB41" s="625"/>
      <c r="AC41" s="625"/>
      <c r="AD41" s="625"/>
      <c r="AE41" s="625"/>
      <c r="AF41" s="625"/>
      <c r="AG41" s="625"/>
      <c r="AH41" s="625"/>
      <c r="AI41" s="625"/>
      <c r="AJ41" s="625"/>
      <c r="AK41" s="625"/>
      <c r="AL41" s="625"/>
      <c r="AM41" s="625"/>
      <c r="AN41" s="625"/>
      <c r="AO41" s="625"/>
      <c r="AP41" s="625"/>
      <c r="AQ41" s="625"/>
      <c r="AR41" s="625"/>
      <c r="AS41" s="625"/>
      <c r="AT41" s="625"/>
      <c r="AU41" s="625"/>
    </row>
    <row r="42" spans="2:47" x14ac:dyDescent="0.4">
      <c r="B42" s="625"/>
      <c r="C42" s="625"/>
      <c r="D42" s="625"/>
      <c r="E42" s="625"/>
      <c r="F42" s="625"/>
      <c r="G42" s="625"/>
      <c r="H42" s="625"/>
      <c r="I42" s="625"/>
      <c r="J42" s="625"/>
      <c r="K42" s="625"/>
      <c r="L42" s="625"/>
      <c r="M42" s="625"/>
      <c r="N42" s="625"/>
      <c r="O42" s="625"/>
      <c r="P42" s="625"/>
      <c r="Q42" s="625"/>
      <c r="R42" s="625"/>
      <c r="S42" s="625"/>
      <c r="T42" s="625"/>
      <c r="U42" s="625"/>
      <c r="V42" s="625"/>
      <c r="W42" s="625"/>
      <c r="X42" s="625"/>
      <c r="Y42" s="625"/>
      <c r="Z42" s="625"/>
      <c r="AA42" s="625"/>
      <c r="AB42" s="625"/>
      <c r="AC42" s="625"/>
      <c r="AD42" s="625"/>
      <c r="AE42" s="625"/>
      <c r="AF42" s="625"/>
      <c r="AG42" s="625"/>
      <c r="AH42" s="625"/>
      <c r="AI42" s="625"/>
      <c r="AJ42" s="625"/>
      <c r="AK42" s="625"/>
      <c r="AL42" s="625"/>
      <c r="AM42" s="625"/>
      <c r="AN42" s="625"/>
      <c r="AO42" s="625"/>
      <c r="AP42" s="625"/>
      <c r="AQ42" s="625"/>
      <c r="AR42" s="625"/>
      <c r="AS42" s="625"/>
      <c r="AT42" s="625"/>
      <c r="AU42" s="625"/>
    </row>
    <row r="43" spans="2:47" x14ac:dyDescent="0.4">
      <c r="B43" s="626" t="s">
        <v>220</v>
      </c>
      <c r="C43" s="625"/>
      <c r="D43" s="625"/>
      <c r="E43" s="625"/>
      <c r="F43" s="625"/>
      <c r="G43" s="625"/>
      <c r="H43" s="625"/>
      <c r="I43" s="625"/>
      <c r="J43" s="625"/>
      <c r="K43" s="625"/>
      <c r="L43" s="626"/>
      <c r="M43" s="625"/>
      <c r="N43" s="625"/>
      <c r="O43" s="625"/>
      <c r="P43" s="625"/>
      <c r="Q43" s="625"/>
      <c r="R43" s="625"/>
      <c r="S43" s="625"/>
      <c r="T43" s="625"/>
      <c r="U43" s="625"/>
      <c r="V43" s="625"/>
      <c r="W43" s="625"/>
      <c r="X43" s="625"/>
      <c r="Y43" s="625"/>
      <c r="Z43" s="625"/>
      <c r="AA43" s="625"/>
      <c r="AB43" s="625"/>
      <c r="AC43" s="625"/>
      <c r="AD43" s="625"/>
      <c r="AE43" s="625"/>
      <c r="AF43" s="625"/>
      <c r="AG43" s="625"/>
      <c r="AH43" s="625"/>
      <c r="AI43" s="625"/>
      <c r="AJ43" s="625"/>
      <c r="AK43" s="625"/>
      <c r="AL43" s="625"/>
      <c r="AM43" s="625"/>
      <c r="AN43" s="625"/>
      <c r="AO43" s="625"/>
      <c r="AP43" s="625"/>
      <c r="AQ43" s="625"/>
      <c r="AR43" s="625"/>
      <c r="AS43" s="625"/>
      <c r="AT43" s="625"/>
      <c r="AU43" s="625"/>
    </row>
    <row r="44" spans="2:47" x14ac:dyDescent="0.4">
      <c r="B44" s="625"/>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row>
    <row r="45" spans="2:47" x14ac:dyDescent="0.4">
      <c r="B45" s="626" t="s">
        <v>219</v>
      </c>
      <c r="C45" s="625"/>
      <c r="D45" s="625"/>
      <c r="E45" s="625"/>
      <c r="F45" s="625"/>
      <c r="G45" s="625"/>
      <c r="H45" s="625"/>
      <c r="I45" s="625"/>
      <c r="J45" s="625"/>
      <c r="K45" s="625"/>
      <c r="L45" s="626"/>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row>
    <row r="46" spans="2:47" x14ac:dyDescent="0.4">
      <c r="B46" s="625"/>
      <c r="C46" s="625"/>
      <c r="D46" s="625"/>
      <c r="E46" s="625"/>
      <c r="F46" s="625"/>
      <c r="G46" s="625"/>
      <c r="H46" s="625"/>
      <c r="I46" s="625"/>
      <c r="J46" s="625"/>
      <c r="K46" s="625"/>
      <c r="L46" s="625"/>
      <c r="M46" s="625"/>
      <c r="N46" s="625"/>
      <c r="O46" s="625"/>
      <c r="P46" s="625"/>
      <c r="Q46" s="625"/>
      <c r="R46" s="625"/>
      <c r="S46" s="625"/>
      <c r="T46" s="625"/>
      <c r="U46" s="625"/>
      <c r="V46" s="625"/>
      <c r="W46" s="625"/>
      <c r="X46" s="625"/>
      <c r="Y46" s="625"/>
      <c r="Z46" s="625"/>
      <c r="AA46" s="625"/>
      <c r="AB46" s="625"/>
      <c r="AC46" s="625"/>
      <c r="AD46" s="625"/>
      <c r="AE46" s="625"/>
      <c r="AF46" s="625"/>
      <c r="AG46" s="625"/>
      <c r="AH46" s="625"/>
      <c r="AI46" s="625"/>
      <c r="AJ46" s="625"/>
      <c r="AK46" s="625"/>
      <c r="AL46" s="625"/>
      <c r="AM46" s="625"/>
      <c r="AN46" s="625"/>
      <c r="AO46" s="625"/>
      <c r="AP46" s="625"/>
      <c r="AQ46" s="625"/>
      <c r="AR46" s="625"/>
      <c r="AS46" s="625"/>
      <c r="AT46" s="625"/>
      <c r="AU46" s="625"/>
    </row>
    <row r="47" spans="2:47" x14ac:dyDescent="0.4">
      <c r="B47" s="626" t="s">
        <v>218</v>
      </c>
      <c r="C47" s="625"/>
      <c r="D47" s="625"/>
      <c r="E47" s="625"/>
      <c r="F47" s="625"/>
      <c r="G47" s="625"/>
      <c r="H47" s="625"/>
      <c r="I47" s="625"/>
      <c r="J47" s="625"/>
      <c r="K47" s="625"/>
      <c r="L47" s="626"/>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row>
    <row r="48" spans="2:47" x14ac:dyDescent="0.4">
      <c r="B48" s="625"/>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row>
    <row r="49" spans="2:63" x14ac:dyDescent="0.4">
      <c r="B49" s="624" t="s">
        <v>217</v>
      </c>
      <c r="C49" s="625"/>
      <c r="D49" s="625"/>
      <c r="E49" s="625"/>
      <c r="F49" s="625"/>
      <c r="G49" s="625"/>
      <c r="H49" s="625"/>
      <c r="I49" s="625"/>
      <c r="J49" s="625"/>
      <c r="K49" s="625"/>
      <c r="L49" s="626"/>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5"/>
      <c r="AL49" s="625"/>
      <c r="AM49" s="625"/>
      <c r="AN49" s="625"/>
      <c r="AO49" s="625"/>
      <c r="AP49" s="625"/>
      <c r="AQ49" s="625"/>
      <c r="AR49" s="625"/>
      <c r="AS49" s="625"/>
      <c r="AT49" s="625"/>
      <c r="AU49" s="625"/>
    </row>
    <row r="50" spans="2:63" x14ac:dyDescent="0.4">
      <c r="B50" s="625"/>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5"/>
      <c r="AL50" s="625"/>
      <c r="AM50" s="625"/>
      <c r="AN50" s="625"/>
      <c r="AO50" s="625"/>
      <c r="AP50" s="625"/>
      <c r="AQ50" s="625"/>
      <c r="AR50" s="625"/>
      <c r="AS50" s="625"/>
      <c r="AT50" s="625"/>
      <c r="AU50" s="625"/>
    </row>
    <row r="51" spans="2:63" ht="20.100000000000001" customHeight="1" x14ac:dyDescent="0.4"/>
    <row r="52" spans="2:63" x14ac:dyDescent="0.4">
      <c r="X52" s="629" t="s">
        <v>216</v>
      </c>
      <c r="Y52" s="630"/>
      <c r="Z52" s="630"/>
      <c r="AA52" s="630"/>
      <c r="AB52" s="630"/>
      <c r="AD52" s="627" t="str">
        <f>IF(AX55="回答",AX69,"")</f>
        <v/>
      </c>
      <c r="AE52" s="628"/>
      <c r="AF52" s="628"/>
      <c r="AG52" s="628"/>
      <c r="AH52" s="628"/>
      <c r="AI52" s="628"/>
      <c r="AJ52" s="628"/>
      <c r="AK52" s="628"/>
      <c r="AL52" s="628"/>
      <c r="AM52" s="628"/>
      <c r="AN52" s="628"/>
      <c r="AO52" s="628"/>
      <c r="AP52" s="628"/>
      <c r="AQ52" s="628"/>
      <c r="AR52" s="628"/>
      <c r="AS52" s="628"/>
      <c r="AT52" s="628"/>
      <c r="AU52" s="628"/>
      <c r="AY52" s="117"/>
      <c r="AZ52" s="117"/>
      <c r="BA52" s="117"/>
      <c r="BB52" s="117"/>
      <c r="BC52" s="117"/>
      <c r="BD52" s="117"/>
      <c r="BE52" s="117"/>
      <c r="BF52" s="117"/>
      <c r="BG52" s="117"/>
      <c r="BH52" s="117"/>
      <c r="BI52" s="117"/>
      <c r="BJ52" s="117"/>
      <c r="BK52" s="117"/>
    </row>
    <row r="53" spans="2:63" x14ac:dyDescent="0.4">
      <c r="X53" s="629" t="s">
        <v>215</v>
      </c>
      <c r="Y53" s="630"/>
      <c r="Z53" s="630"/>
      <c r="AA53" s="630"/>
      <c r="AB53" s="630"/>
      <c r="AD53" s="627" t="str">
        <f>IF(AX55="回答",AX70,"")</f>
        <v/>
      </c>
      <c r="AE53" s="628"/>
      <c r="AF53" s="628"/>
      <c r="AG53" s="628"/>
      <c r="AH53" s="628"/>
      <c r="AI53" s="628"/>
      <c r="AJ53" s="628"/>
      <c r="AK53" s="628"/>
      <c r="AL53" s="628"/>
      <c r="AM53" s="628"/>
      <c r="AN53" s="628"/>
      <c r="AO53" s="628"/>
      <c r="AP53" s="628"/>
      <c r="AQ53" s="628"/>
      <c r="AR53" s="628"/>
      <c r="AS53" s="628"/>
      <c r="AT53" s="628"/>
      <c r="AU53" s="628"/>
      <c r="AY53" s="117"/>
      <c r="AZ53" s="117"/>
      <c r="BA53" s="117"/>
      <c r="BB53" s="117"/>
      <c r="BC53" s="117"/>
      <c r="BD53" s="117"/>
      <c r="BE53" s="117"/>
      <c r="BF53" s="117"/>
      <c r="BG53" s="117"/>
      <c r="BH53" s="117"/>
      <c r="BI53" s="117"/>
      <c r="BJ53" s="117"/>
      <c r="BK53" s="117"/>
    </row>
    <row r="54" spans="2:63" ht="20.100000000000001" customHeight="1" x14ac:dyDescent="0.4"/>
    <row r="55" spans="2:63" x14ac:dyDescent="0.4">
      <c r="AX55" s="116" t="s">
        <v>213</v>
      </c>
    </row>
    <row r="56" spans="2:63" x14ac:dyDescent="0.4">
      <c r="AX56" s="115" t="s">
        <v>214</v>
      </c>
    </row>
    <row r="57" spans="2:63" x14ac:dyDescent="0.4">
      <c r="AX57" s="113" t="s">
        <v>213</v>
      </c>
    </row>
    <row r="58" spans="2:63" x14ac:dyDescent="0.4">
      <c r="AX58" s="113" t="s">
        <v>212</v>
      </c>
    </row>
    <row r="69" spans="50:50" x14ac:dyDescent="0.4">
      <c r="AX69" s="114" t="s">
        <v>211</v>
      </c>
    </row>
    <row r="70" spans="50:50" x14ac:dyDescent="0.4">
      <c r="AX70" s="114" t="s">
        <v>210</v>
      </c>
    </row>
  </sheetData>
  <sheetProtection algorithmName="SHA-512" hashValue="Splab0uapCJkNE5hImxBOpj9TmJkHLqauh1wTymginGMXUyXizhf+GubfHFounfXra4dlzq/vcvmh6ZlIqQbeQ==" saltValue="Y5vQhH90leO7uIvggLBQJg==" spinCount="100000" sheet="1" objects="1" scenarios="1"/>
  <mergeCells count="47">
    <mergeCell ref="D24:N24"/>
    <mergeCell ref="D20:AU20"/>
    <mergeCell ref="D21:AU21"/>
    <mergeCell ref="AF7:AU7"/>
    <mergeCell ref="B5:L5"/>
    <mergeCell ref="AK3:AU4"/>
    <mergeCell ref="X7:AD7"/>
    <mergeCell ref="B11:AU12"/>
    <mergeCell ref="B19:AU19"/>
    <mergeCell ref="AF8:AU8"/>
    <mergeCell ref="AF9:AJ9"/>
    <mergeCell ref="AL9:AU9"/>
    <mergeCell ref="X9:AD9"/>
    <mergeCell ref="X8:AD8"/>
    <mergeCell ref="B14:AU17"/>
    <mergeCell ref="Z33:AG33"/>
    <mergeCell ref="B29:AU29"/>
    <mergeCell ref="B30:AU30"/>
    <mergeCell ref="B31:AU31"/>
    <mergeCell ref="AI33:AU33"/>
    <mergeCell ref="L41:AU42"/>
    <mergeCell ref="AD52:AU52"/>
    <mergeCell ref="B22:AU22"/>
    <mergeCell ref="AI35:AU35"/>
    <mergeCell ref="AI36:AU36"/>
    <mergeCell ref="B39:AU40"/>
    <mergeCell ref="B38:AU38"/>
    <mergeCell ref="Z36:AG36"/>
    <mergeCell ref="Z35:AG35"/>
    <mergeCell ref="AI34:AU34"/>
    <mergeCell ref="B23:AU23"/>
    <mergeCell ref="B26:AU26"/>
    <mergeCell ref="B27:AU27"/>
    <mergeCell ref="B28:AU28"/>
    <mergeCell ref="Z34:AG34"/>
    <mergeCell ref="B41:K42"/>
    <mergeCell ref="B49:K50"/>
    <mergeCell ref="B47:K48"/>
    <mergeCell ref="B45:K46"/>
    <mergeCell ref="B43:K44"/>
    <mergeCell ref="AD53:AU53"/>
    <mergeCell ref="X53:AB53"/>
    <mergeCell ref="L43:AU44"/>
    <mergeCell ref="L45:AU46"/>
    <mergeCell ref="L47:AU48"/>
    <mergeCell ref="L49:AU50"/>
    <mergeCell ref="X52:AB52"/>
  </mergeCells>
  <phoneticPr fontId="1"/>
  <dataValidations count="1">
    <dataValidation type="list" allowBlank="1" showInputMessage="1" showErrorMessage="1" sqref="AX55" xr:uid="{BF7F3F19-000F-45DC-A7F4-04998F990967}">
      <formula1>$AX$57:$AX$58</formula1>
    </dataValidation>
  </dataValidations>
  <pageMargins left="0.7" right="0.7" top="0.75" bottom="0.75" header="0.3" footer="0.3"/>
  <pageSetup paperSize="9" scale="46"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B56"/>
  <sheetViews>
    <sheetView showGridLines="0" view="pageBreakPreview" zoomScaleNormal="100" zoomScaleSheetLayoutView="100" workbookViewId="0">
      <selection activeCell="A31" sqref="A1:XFD1048576"/>
    </sheetView>
  </sheetViews>
  <sheetFormatPr defaultColWidth="5.625" defaultRowHeight="20.100000000000001" customHeight="1" x14ac:dyDescent="0.4"/>
  <cols>
    <col min="1" max="1" width="2.625" style="223" customWidth="1"/>
    <col min="2" max="18" width="4.625" style="223" customWidth="1"/>
    <col min="19" max="19" width="2.625" style="223" customWidth="1"/>
    <col min="20" max="20" width="1.75" style="223" customWidth="1"/>
    <col min="21" max="25" width="10.125" style="223" customWidth="1"/>
    <col min="26" max="26" width="7" style="223" customWidth="1"/>
    <col min="27" max="38" width="10.25" style="223" customWidth="1"/>
    <col min="39" max="39" width="4.625" style="223" customWidth="1"/>
    <col min="40" max="41" width="10.625" style="223" customWidth="1"/>
    <col min="42" max="42" width="4.625" style="223" customWidth="1"/>
    <col min="43" max="44" width="10.25" style="223" customWidth="1"/>
    <col min="45" max="47" width="6.625" style="223" customWidth="1"/>
    <col min="48" max="54" width="10.25" style="223" customWidth="1"/>
    <col min="55" max="16384" width="5.625" style="223"/>
  </cols>
  <sheetData>
    <row r="1" spans="1:54" ht="9.9499999999999993" customHeight="1" x14ac:dyDescent="0.4"/>
    <row r="2" spans="1:54" ht="15.95" customHeight="1" x14ac:dyDescent="0.4">
      <c r="O2" s="647"/>
      <c r="P2" s="648"/>
      <c r="Q2" s="648"/>
      <c r="R2" s="648"/>
      <c r="S2" s="648"/>
    </row>
    <row r="3" spans="1:54" ht="15.95" customHeight="1" x14ac:dyDescent="0.4">
      <c r="B3" s="223" t="str">
        <f xml:space="preserve">
IF(テーブル!B3=テーブル!D3,"様式１",
IF(テーブル!B3=テーブル!D6,"様式１",
IF(テーブル!B3=テーブル!D7,"様式１",
IF(テーブル!B3=テーブル!D8,"様式１",
IF(テーブル!B3=テーブル!D4,"様式２",
IF(テーブル!B3=テーブル!D5,"様式３"))))))</f>
        <v>様式１</v>
      </c>
    </row>
    <row r="4" spans="1:54" ht="15.95" customHeight="1" x14ac:dyDescent="0.4">
      <c r="N4" s="660" t="str">
        <f>IF(はじめに入力してください!H13="","",はじめに入力してください!H13)</f>
        <v/>
      </c>
      <c r="O4" s="660"/>
      <c r="P4" s="660"/>
      <c r="Q4" s="660"/>
      <c r="R4" s="650"/>
      <c r="Z4" s="160"/>
      <c r="AA4" s="160"/>
      <c r="AB4" s="161"/>
      <c r="AC4" s="160"/>
      <c r="AD4" s="162"/>
      <c r="AE4" s="162"/>
      <c r="AF4" s="162"/>
      <c r="AG4" s="160"/>
      <c r="AH4" s="160"/>
      <c r="AI4" s="162"/>
      <c r="AJ4" s="162"/>
      <c r="AK4" s="163"/>
      <c r="AL4" s="163"/>
      <c r="AM4" s="163"/>
      <c r="AN4" s="163"/>
      <c r="AO4" s="163"/>
      <c r="AP4" s="163"/>
      <c r="AQ4" s="163"/>
      <c r="AR4" s="163"/>
      <c r="AS4" s="162"/>
      <c r="AT4" s="164"/>
      <c r="AU4" s="164"/>
      <c r="AV4" s="219"/>
      <c r="AW4" s="219"/>
      <c r="AX4" s="219"/>
      <c r="AY4" s="219"/>
      <c r="AZ4" s="219"/>
      <c r="BA4" s="165"/>
      <c r="BB4" s="165"/>
    </row>
    <row r="5" spans="1:54" ht="15.95" customHeight="1" x14ac:dyDescent="0.4">
      <c r="N5" s="663" t="str">
        <f>IF(COUNTA(はじめに入力してください!I12,はじめに入力してください!K12,はじめに入力してください!M12)&lt;&gt;3,
"令和　年　月　　日",
はじめに入力してください!H12&amp;はじめに入力してください!I12&amp;はじめに入力してください!J12&amp;はじめに入力してください!K12&amp;はじめに入力してください!L12&amp;はじめに入力してください!M12&amp;はじめに入力してください!N12)</f>
        <v>令和　年　月　　日</v>
      </c>
      <c r="O5" s="656"/>
      <c r="P5" s="656"/>
      <c r="Q5" s="656"/>
      <c r="R5" s="664"/>
      <c r="Z5" s="160"/>
      <c r="AA5" s="160"/>
      <c r="AB5" s="161"/>
      <c r="AC5" s="160"/>
      <c r="AD5" s="162"/>
      <c r="AE5" s="162"/>
      <c r="AF5" s="162"/>
      <c r="AG5" s="160"/>
      <c r="AH5" s="160"/>
      <c r="AI5" s="162"/>
      <c r="AJ5" s="162"/>
      <c r="AK5" s="166"/>
      <c r="AL5" s="167"/>
      <c r="AM5" s="166"/>
      <c r="AN5" s="167"/>
      <c r="AO5" s="163"/>
      <c r="AP5" s="166"/>
      <c r="AQ5" s="167"/>
      <c r="AR5" s="163"/>
      <c r="AS5" s="162"/>
      <c r="AT5" s="164"/>
      <c r="AU5" s="164"/>
      <c r="AV5" s="219"/>
      <c r="AW5" s="219"/>
      <c r="AX5" s="219"/>
      <c r="AY5" s="219"/>
      <c r="AZ5" s="219"/>
      <c r="BA5" s="165"/>
      <c r="BB5" s="165"/>
    </row>
    <row r="6" spans="1:54" ht="15.95" customHeight="1" x14ac:dyDescent="0.4">
      <c r="B6" s="665" t="s">
        <v>5</v>
      </c>
      <c r="C6" s="665"/>
      <c r="D6" s="665"/>
      <c r="E6" s="665"/>
      <c r="F6" s="665"/>
      <c r="G6" s="665"/>
      <c r="Z6" s="168"/>
      <c r="AA6" s="219"/>
      <c r="AB6" s="219"/>
      <c r="AC6" s="169"/>
      <c r="AD6" s="169"/>
      <c r="AE6" s="169"/>
      <c r="AF6" s="169"/>
      <c r="AG6" s="169"/>
      <c r="AH6" s="169"/>
      <c r="AI6" s="169"/>
      <c r="AJ6" s="169"/>
      <c r="AK6" s="169"/>
      <c r="AL6" s="169"/>
      <c r="AM6" s="169"/>
      <c r="AN6" s="169"/>
      <c r="AO6" s="169"/>
      <c r="AP6" s="169"/>
      <c r="AQ6" s="169"/>
      <c r="AR6" s="169"/>
      <c r="AS6" s="219"/>
      <c r="AT6" s="170"/>
      <c r="AU6" s="219"/>
      <c r="AV6" s="219"/>
      <c r="AW6" s="219"/>
      <c r="AX6" s="219"/>
      <c r="AY6" s="219"/>
      <c r="AZ6" s="219"/>
      <c r="BA6" s="219"/>
      <c r="BB6" s="219"/>
    </row>
    <row r="7" spans="1:54" ht="15.95" customHeight="1" x14ac:dyDescent="0.4">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row>
    <row r="8" spans="1:54" ht="15.95" customHeight="1" x14ac:dyDescent="0.4">
      <c r="I8" s="656" t="s">
        <v>38</v>
      </c>
      <c r="J8" s="656"/>
      <c r="K8" s="656"/>
      <c r="L8" s="667" t="str">
        <f>IF(はじめに入力してください!H9=0,"",はじめに入力してください!H9)</f>
        <v/>
      </c>
      <c r="M8" s="667"/>
      <c r="N8" s="667"/>
      <c r="O8" s="667"/>
      <c r="P8" s="667"/>
      <c r="Q8" s="667"/>
      <c r="R8" s="667"/>
      <c r="Z8" s="219"/>
      <c r="AA8" s="50"/>
      <c r="AB8" s="50"/>
      <c r="AC8" s="50"/>
      <c r="AD8" s="50"/>
      <c r="AE8" s="50"/>
      <c r="AF8" s="50"/>
      <c r="AG8" s="50"/>
      <c r="AH8" s="219"/>
      <c r="AI8" s="219"/>
      <c r="AJ8" s="219"/>
      <c r="AK8" s="219"/>
      <c r="AL8" s="219"/>
      <c r="AM8" s="219"/>
      <c r="AN8" s="219"/>
      <c r="AO8" s="219"/>
      <c r="AP8" s="219"/>
      <c r="AQ8" s="219"/>
      <c r="AR8" s="219"/>
      <c r="AS8" s="219"/>
      <c r="AT8" s="219"/>
      <c r="AU8" s="219"/>
      <c r="AV8" s="219"/>
      <c r="AW8" s="219"/>
      <c r="AX8" s="219"/>
      <c r="AY8" s="219"/>
      <c r="AZ8" s="219"/>
      <c r="BA8" s="219"/>
      <c r="BB8" s="219"/>
    </row>
    <row r="9" spans="1:54" ht="15.95" customHeight="1" x14ac:dyDescent="0.4">
      <c r="I9" s="656" t="s">
        <v>3</v>
      </c>
      <c r="J9" s="656"/>
      <c r="K9" s="656"/>
      <c r="L9" s="667" t="str">
        <f xml:space="preserve">
IF(はじめに入力してください!O3="×","",
IF(はじめに入力してください!O3="○"&amp;CHAR(10)&amp;"（個人）",はじめに入力してください!H6,
IF(はじめに入力してください!O3="○"&amp;CHAR(10)&amp;"（法人）",はじめに入力してください!H6&amp;"("&amp;はじめに入力してください!H10&amp;")",
IF(はじめに入力してください!O3="○"&amp;CHAR(10)&amp;"（公立）",はじめに入力してください!H6&amp;"("&amp;はじめに入力してください!H10&amp;")"))))</f>
        <v/>
      </c>
      <c r="M9" s="667"/>
      <c r="N9" s="667"/>
      <c r="O9" s="667"/>
      <c r="P9" s="667"/>
      <c r="Q9" s="667"/>
      <c r="R9" s="667"/>
      <c r="Z9" s="219"/>
      <c r="AA9" s="50"/>
      <c r="AB9" s="50"/>
      <c r="AC9" s="50"/>
      <c r="AD9" s="50"/>
      <c r="AE9" s="50"/>
      <c r="AF9" s="50"/>
      <c r="AG9" s="50"/>
      <c r="AH9" s="219"/>
      <c r="AI9" s="219"/>
      <c r="AJ9" s="219"/>
      <c r="AK9" s="219"/>
      <c r="AL9" s="219"/>
      <c r="AM9" s="219"/>
      <c r="AN9" s="219"/>
      <c r="AO9" s="219"/>
      <c r="AP9" s="219"/>
      <c r="AQ9" s="219"/>
      <c r="AR9" s="219"/>
      <c r="AS9" s="219"/>
      <c r="AT9" s="219"/>
      <c r="AU9" s="219"/>
      <c r="AV9" s="219"/>
      <c r="AW9" s="219"/>
      <c r="AX9" s="219"/>
      <c r="AY9" s="219"/>
      <c r="AZ9" s="219"/>
      <c r="BA9" s="219"/>
      <c r="BB9" s="219"/>
    </row>
    <row r="10" spans="1:54" ht="15.95" customHeight="1" x14ac:dyDescent="0.4">
      <c r="I10" s="656" t="s">
        <v>28</v>
      </c>
      <c r="J10" s="656"/>
      <c r="K10" s="656"/>
      <c r="L10" s="668" t="str">
        <f>はじめに入力してください!H7&amp;"　"&amp;はじめに入力してください!H8</f>
        <v>　</v>
      </c>
      <c r="M10" s="668"/>
      <c r="N10" s="668"/>
      <c r="O10" s="668"/>
      <c r="P10" s="668"/>
      <c r="Q10" s="668"/>
      <c r="R10" s="668"/>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row>
    <row r="11" spans="1:54" ht="9.9499999999999993" customHeight="1" x14ac:dyDescent="0.4"/>
    <row r="12" spans="1:54" ht="32.1" customHeight="1" x14ac:dyDescent="0.4">
      <c r="B12" s="657" t="str">
        <f xml:space="preserve">
IF(テーブル!B3="交付申請兼実績報告書",
"　　　令和５年度　新型コロナウイルス感染症外来対応医療機関確保事業費補助金"&amp;CHAR(10)&amp;
"　　　交付申請書兼実績報告書兼請求書",
IF(テーブル!B3="事前協議",
"　　　令和５年度　新型コロナウイルス感染症外来対応医療機関確保事業費補助金"&amp;CHAR(10)&amp;
"　　　交付申請書兼実績報告書兼請求書（案）"))</f>
        <v>　　　令和５年度　新型コロナウイルス感染症外来対応医療機関確保事業費補助金
　　　交付申請書兼実績報告書兼請求書（案）</v>
      </c>
      <c r="C12" s="657"/>
      <c r="D12" s="657"/>
      <c r="E12" s="657"/>
      <c r="F12" s="657"/>
      <c r="G12" s="657"/>
      <c r="H12" s="657"/>
      <c r="I12" s="657"/>
      <c r="J12" s="657"/>
      <c r="K12" s="657"/>
      <c r="L12" s="657"/>
      <c r="M12" s="657"/>
      <c r="N12" s="657"/>
      <c r="O12" s="657"/>
      <c r="P12" s="657"/>
      <c r="Q12" s="657"/>
      <c r="R12" s="657"/>
    </row>
    <row r="13" spans="1:54" ht="9.9499999999999993" customHeight="1" x14ac:dyDescent="0.4"/>
    <row r="14" spans="1:54" ht="39.950000000000003" customHeight="1" x14ac:dyDescent="0.4">
      <c r="A14" s="658" t="s">
        <v>170</v>
      </c>
      <c r="B14" s="659"/>
      <c r="C14" s="659"/>
      <c r="D14" s="659"/>
      <c r="E14" s="659"/>
      <c r="F14" s="659"/>
      <c r="G14" s="659"/>
      <c r="H14" s="659"/>
      <c r="I14" s="659"/>
      <c r="J14" s="659"/>
      <c r="K14" s="659"/>
      <c r="L14" s="659"/>
      <c r="M14" s="659"/>
      <c r="N14" s="659"/>
      <c r="O14" s="659"/>
      <c r="P14" s="659"/>
      <c r="Q14" s="659"/>
      <c r="R14" s="659"/>
      <c r="S14" s="659"/>
    </row>
    <row r="15" spans="1:54" ht="15.95" customHeight="1" x14ac:dyDescent="0.4">
      <c r="B15" s="666" t="s">
        <v>8</v>
      </c>
      <c r="C15" s="666"/>
      <c r="D15" s="666"/>
      <c r="E15" s="666"/>
      <c r="F15" s="666"/>
      <c r="G15" s="666"/>
      <c r="H15" s="666"/>
      <c r="I15" s="666"/>
      <c r="J15" s="666"/>
      <c r="K15" s="666"/>
      <c r="L15" s="666"/>
      <c r="M15" s="666"/>
      <c r="N15" s="666"/>
      <c r="O15" s="666"/>
      <c r="P15" s="666"/>
      <c r="Q15" s="666"/>
      <c r="R15" s="666"/>
    </row>
    <row r="16" spans="1:54" ht="18" customHeight="1" x14ac:dyDescent="0.4">
      <c r="B16" s="223" t="s">
        <v>29</v>
      </c>
      <c r="C16" s="225"/>
      <c r="D16" s="225"/>
      <c r="E16" s="225"/>
      <c r="F16" s="225"/>
      <c r="G16" s="225"/>
      <c r="H16" s="225"/>
      <c r="I16" s="225"/>
      <c r="J16" s="225"/>
      <c r="K16" s="225"/>
      <c r="L16" s="225"/>
      <c r="M16" s="225"/>
      <c r="N16" s="225"/>
      <c r="O16" s="225"/>
      <c r="P16" s="225"/>
      <c r="Q16" s="225"/>
      <c r="R16" s="225"/>
      <c r="V16" s="219"/>
      <c r="W16" s="220"/>
    </row>
    <row r="17" spans="2:23" ht="18" customHeight="1" x14ac:dyDescent="0.4">
      <c r="B17" s="659" t="str">
        <f>"　　"&amp;IF(はじめに入力してください!H10=0,"",はじめに入力してください!H10)</f>
        <v>　　</v>
      </c>
      <c r="C17" s="519"/>
      <c r="D17" s="519"/>
      <c r="E17" s="519"/>
      <c r="F17" s="519"/>
      <c r="G17" s="519"/>
      <c r="H17" s="519"/>
      <c r="I17" s="519"/>
      <c r="J17" s="519"/>
      <c r="K17" s="519"/>
      <c r="L17" s="519"/>
      <c r="M17" s="519"/>
      <c r="N17" s="519"/>
      <c r="O17" s="519"/>
      <c r="P17" s="519"/>
      <c r="Q17" s="519"/>
      <c r="R17" s="519"/>
      <c r="V17" s="220"/>
      <c r="W17" s="220"/>
    </row>
    <row r="18" spans="2:23" ht="18" customHeight="1" x14ac:dyDescent="0.4">
      <c r="B18" s="659" t="str">
        <f>"　　"&amp;IF(はじめに入力してください!H11=0,"",はじめに入力してください!H11)</f>
        <v>　　</v>
      </c>
      <c r="C18" s="519"/>
      <c r="D18" s="519"/>
      <c r="E18" s="519"/>
      <c r="F18" s="519"/>
      <c r="G18" s="519"/>
      <c r="H18" s="519"/>
      <c r="I18" s="519"/>
      <c r="J18" s="519"/>
      <c r="K18" s="519"/>
      <c r="L18" s="519"/>
      <c r="M18" s="519"/>
      <c r="N18" s="519"/>
      <c r="O18" s="519"/>
      <c r="P18" s="519"/>
      <c r="Q18" s="519"/>
      <c r="R18" s="519"/>
      <c r="V18" s="683"/>
      <c r="W18" s="683"/>
    </row>
    <row r="19" spans="2:23" ht="18" customHeight="1" x14ac:dyDescent="0.4">
      <c r="B19" s="658" t="str">
        <f xml:space="preserve">
IF(テーブル!B3=テーブル!D3,"２　補助金申請額",
IF(テーブル!B3=テーブル!D6,"２　補助金申請額",
IF(テーブル!B3=テーブル!D4,"２　補助額",
IF(OR(テーブル!B3=テーブル!D5,テーブル!B3=テーブル!D7,テーブル!B3=テーブル!D8),"２　補助金精算額"))))</f>
        <v>２　補助金精算額</v>
      </c>
      <c r="C19" s="684"/>
      <c r="D19" s="684"/>
      <c r="E19" s="684"/>
      <c r="F19" s="684"/>
      <c r="G19" s="684"/>
      <c r="H19" s="684"/>
      <c r="I19" s="684"/>
      <c r="J19" s="684"/>
      <c r="K19" s="684"/>
      <c r="L19" s="684"/>
      <c r="M19" s="684"/>
      <c r="N19" s="684"/>
      <c r="O19" s="684"/>
      <c r="P19" s="684"/>
      <c r="Q19" s="684"/>
      <c r="R19" s="684"/>
      <c r="V19" s="683"/>
      <c r="W19" s="683"/>
    </row>
    <row r="20" spans="2:23" ht="18" customHeight="1" x14ac:dyDescent="0.4">
      <c r="C20" s="649" t="str">
        <f xml:space="preserve">
IF(テーブル!B3=テーブル!D3,"",
IF(テーブル!B3=テーブル!D6,"",
IF(テーブル!B3=テーブル!D4,"（１）申請額",
IF(OR(テーブル!B3=テーブル!D5,テーブル!B3=テーブル!D7,テーブル!B3=テーブル!D8),""))))</f>
        <v/>
      </c>
      <c r="D20" s="650"/>
      <c r="E20" s="650"/>
      <c r="F20" s="650"/>
      <c r="H20" s="651" t="str">
        <f ca="1" xml:space="preserve">
IF(AND(テーブル!B3="交付申請",はじめに入力してください!F37="×"),"金　　　　　　　　　円",
IF(AND(テーブル!B3="交付申請",はじめに入力してください!F37="○"),経費書!I16,
IF(AND(テーブル!B3="交付申請（２次以降）",はじめに入力してください!F37="×"),"金　　　　　　　　　円",
IF(AND(テーブル!B3="交付申請（２次以降）",はじめに入力してください!F37="○"),経費書!I16,
IF(AND(テーブル!B3="変更申請",はじめに入力してください!F37="×"),"金　　　　　　　　　円",
IF(AND(テーブル!B3="変更申請",はじめに入力してください!F37="○"),経費書!I16,
IF(AND(OR(テーブル!B3="交付申請兼実績報告書",,テーブル!B3="事前協議"),はじめに入力してください!F37="×"),"金　　　　　　　　　円",
IF(AND(OR(テーブル!B3="交付申請兼実績報告書",,テーブル!B3="事前協議"),はじめに入力してください!F37="○"),経費書!I18,
IF(AND(テーブル!B3="実績報告",はじめに入力してください!F37="×"),"金　　　　　　　　　円",
IF(AND(テーブル!B3="実績報告",はじめに入力してください!F37="○"),経費書!K16))))))))))</f>
        <v>金　　　　　　　　　円</v>
      </c>
      <c r="I20" s="652"/>
      <c r="J20" s="652"/>
      <c r="K20" s="652"/>
      <c r="L20" s="653"/>
      <c r="M20" s="661"/>
      <c r="N20" s="662"/>
      <c r="O20" s="662"/>
      <c r="P20" s="662"/>
      <c r="Q20" s="662"/>
      <c r="R20" s="662"/>
      <c r="S20" s="662"/>
      <c r="V20" s="220"/>
      <c r="W20" s="220"/>
    </row>
    <row r="21" spans="2:23" ht="18" customHeight="1" x14ac:dyDescent="0.4">
      <c r="C21" s="649" t="str">
        <f xml:space="preserve">
IF(テーブル!B3=テーブル!D3,"",
IF(テーブル!B3=テーブル!D6,"",
IF(テーブル!B3=テーブル!D4,"（２）既交付決定額",
IF(OR(テーブル!B3=テーブル!D5,テーブル!B3=テーブル!D7,テーブル!B3=テーブル!D8),""))))</f>
        <v/>
      </c>
      <c r="D21" s="650"/>
      <c r="E21" s="650"/>
      <c r="F21" s="650"/>
      <c r="H21" s="655"/>
      <c r="I21" s="652"/>
      <c r="J21" s="652"/>
      <c r="K21" s="652"/>
      <c r="L21" s="653"/>
      <c r="M21" s="662"/>
      <c r="N21" s="662"/>
      <c r="O21" s="662"/>
      <c r="P21" s="662"/>
      <c r="Q21" s="662"/>
      <c r="R21" s="662"/>
      <c r="S21" s="662"/>
      <c r="V21" s="220"/>
      <c r="W21" s="220"/>
    </row>
    <row r="22" spans="2:23" ht="15.95" customHeight="1" x14ac:dyDescent="0.4">
      <c r="C22" s="649" t="str">
        <f xml:space="preserve">
IF(テーブル!B3=テーブル!D3,"",
IF(テーブル!B3=テーブル!D6,"",
IF(テーブル!B3=テーブル!D4,"（３）差引増減額",
IF(OR(テーブル!B3=テーブル!D5,テーブル!B3=テーブル!D7,テーブル!B3=テーブル!D8),""))))</f>
        <v/>
      </c>
      <c r="D22" s="650"/>
      <c r="E22" s="650"/>
      <c r="F22" s="650"/>
      <c r="H22" s="654" t="str">
        <f xml:space="preserve">
IF(テーブル!B3=テーブル!D3,"",
IF(テーブル!B3=テーブル!D6,"",
IF(AND(テーブル!B3=テーブル!D4,はじめに入力してください!H24=""),"金　　　　　　　　　円",
IF(AND(テーブル!B3=テーブル!D4,はじめに入力してください!H24&lt;&gt;""),IFERROR(H20-H21,"金　　　　　　　　　円"),
IF(OR(テーブル!B3=テーブル!D5,テーブル!B3=テーブル!D7,テーブル!B3=テーブル!D8),"")))))</f>
        <v/>
      </c>
      <c r="I22" s="652"/>
      <c r="J22" s="652"/>
      <c r="K22" s="652"/>
      <c r="L22" s="653"/>
      <c r="M22" s="171"/>
      <c r="N22" s="171"/>
      <c r="O22" s="171"/>
      <c r="P22" s="171"/>
    </row>
    <row r="23" spans="2:23" ht="15.95" customHeight="1" x14ac:dyDescent="0.4">
      <c r="B23" s="223" t="s">
        <v>173</v>
      </c>
    </row>
    <row r="24" spans="2:23" ht="15.95" customHeight="1" x14ac:dyDescent="0.4">
      <c r="B24" s="172" t="s">
        <v>172</v>
      </c>
    </row>
    <row r="25" spans="2:23" ht="15.95" customHeight="1" x14ac:dyDescent="0.4">
      <c r="B25" s="173" t="s">
        <v>30</v>
      </c>
      <c r="C25" s="174"/>
      <c r="D25" s="174"/>
      <c r="E25" s="174"/>
      <c r="F25" s="174"/>
      <c r="G25" s="174"/>
      <c r="H25" s="174"/>
      <c r="I25" s="174"/>
      <c r="J25" s="174"/>
      <c r="K25" s="174"/>
      <c r="L25" s="174"/>
      <c r="M25" s="174"/>
    </row>
    <row r="26" spans="2:23" ht="15.95" customHeight="1" x14ac:dyDescent="0.4">
      <c r="B26" s="675" t="s">
        <v>171</v>
      </c>
      <c r="C26" s="675"/>
      <c r="D26" s="675"/>
      <c r="E26" s="675"/>
      <c r="F26" s="675"/>
      <c r="G26" s="675"/>
      <c r="H26" s="675"/>
      <c r="I26" s="675"/>
      <c r="J26" s="675"/>
      <c r="K26" s="675"/>
      <c r="L26" s="675"/>
      <c r="M26" s="675"/>
      <c r="N26" s="675"/>
      <c r="O26" s="675"/>
      <c r="P26" s="675"/>
      <c r="Q26" s="675"/>
      <c r="R26" s="675"/>
    </row>
    <row r="27" spans="2:23" s="218" customFormat="1" ht="32.1" customHeight="1" x14ac:dyDescent="0.4">
      <c r="B27" s="680" t="str">
        <f xml:space="preserve">
IF(テーブル!B3=テーブル!D3,"　　（注）公立医療機関に限る。"&amp;CHAR(10)&amp;"　　　　　予算書には、当該事業の補助対象事業に係る額を備考欄に記入すること。",
IF(テーブル!B3=テーブル!D6,"　　（注）公立医療機関に限る。"&amp;CHAR(10)&amp;"　　　　　予算書には、当該事業の補助対象事業に係る額を備考欄に記入すること。",
IF(テーブル!B3=テーブル!D4,"　　（注）公立医療機関に限る。"&amp;CHAR(10)&amp;"　　　　　予算書には、当該事業の補助対象事業に係る額を備考欄に記入すること。",
IF(OR(テーブル!B3=テーブル!D7,テーブル!B3=テーブル!D8),"　　（注）公立医療機関に限る。"&amp;CHAR(10)&amp;"　　　　　決算書には、当該事業の補助対象事業に係る額を備考欄に記入すること。",
IF(テーブル!B3=テーブル!D5,"　　（注）公立医療機関に限る。"&amp;CHAR(10)&amp;"　　　　　決算書には、当該事業の補助対象事業に係る額を備考欄に記入すること。")))))</f>
        <v>　　（注）公立医療機関に限る。
　　　　　決算書には、当該事業の補助対象事業に係る額を備考欄に記入すること。</v>
      </c>
      <c r="C27" s="680"/>
      <c r="D27" s="680"/>
      <c r="E27" s="680"/>
      <c r="F27" s="680"/>
      <c r="G27" s="680"/>
      <c r="H27" s="680"/>
      <c r="I27" s="680"/>
      <c r="J27" s="680"/>
      <c r="K27" s="680"/>
      <c r="L27" s="680"/>
      <c r="M27" s="680"/>
      <c r="N27" s="680"/>
      <c r="O27" s="680"/>
      <c r="P27" s="680"/>
      <c r="Q27" s="680"/>
      <c r="R27" s="680"/>
    </row>
    <row r="28" spans="2:23" s="218" customFormat="1" ht="15.95" customHeight="1" x14ac:dyDescent="0.4">
      <c r="B28" s="675" t="s">
        <v>158</v>
      </c>
      <c r="C28" s="675"/>
      <c r="D28" s="675"/>
      <c r="E28" s="675"/>
      <c r="F28" s="675"/>
      <c r="G28" s="675"/>
      <c r="H28" s="675"/>
      <c r="I28" s="675"/>
      <c r="J28" s="675"/>
      <c r="K28" s="675"/>
      <c r="L28" s="675"/>
      <c r="M28" s="675"/>
      <c r="N28" s="675"/>
      <c r="O28" s="675"/>
      <c r="P28" s="675"/>
      <c r="Q28" s="675"/>
      <c r="R28" s="675"/>
    </row>
    <row r="29" spans="2:23" ht="15.95" customHeight="1" x14ac:dyDescent="0.4">
      <c r="B29" s="675" t="s">
        <v>159</v>
      </c>
      <c r="C29" s="672"/>
      <c r="D29" s="672"/>
      <c r="E29" s="672"/>
      <c r="F29" s="672"/>
      <c r="G29" s="672"/>
      <c r="H29" s="672"/>
      <c r="I29" s="672"/>
      <c r="J29" s="222"/>
      <c r="K29" s="222"/>
      <c r="L29" s="222"/>
      <c r="M29" s="222"/>
      <c r="N29" s="222"/>
      <c r="O29" s="222"/>
      <c r="P29" s="222"/>
      <c r="Q29" s="222"/>
      <c r="R29" s="222"/>
    </row>
    <row r="30" spans="2:23" ht="15.95" customHeight="1" x14ac:dyDescent="0.4">
      <c r="B30" s="222"/>
      <c r="C30" s="672"/>
      <c r="D30" s="672"/>
      <c r="E30" s="672"/>
      <c r="F30" s="672"/>
      <c r="G30" s="672"/>
      <c r="H30" s="672"/>
      <c r="I30" s="672"/>
      <c r="J30" s="673"/>
      <c r="K30" s="673"/>
      <c r="L30" s="673"/>
      <c r="M30" s="673"/>
      <c r="N30" s="674"/>
      <c r="O30" s="219"/>
      <c r="P30" s="219"/>
      <c r="Q30" s="219"/>
      <c r="R30" s="219"/>
      <c r="S30" s="51"/>
    </row>
    <row r="31" spans="2:23" ht="15.95" customHeight="1" x14ac:dyDescent="0.4">
      <c r="B31" s="681" t="s">
        <v>174</v>
      </c>
      <c r="C31" s="681"/>
      <c r="D31" s="681"/>
      <c r="E31" s="681"/>
      <c r="F31" s="681"/>
      <c r="G31" s="681"/>
      <c r="H31" s="681"/>
      <c r="I31" s="681"/>
      <c r="J31" s="681"/>
      <c r="K31" s="681"/>
      <c r="L31" s="681"/>
      <c r="M31" s="681"/>
      <c r="N31" s="681"/>
      <c r="O31" s="681"/>
      <c r="P31" s="681"/>
      <c r="Q31" s="681"/>
      <c r="R31" s="219"/>
      <c r="S31" s="51"/>
    </row>
    <row r="32" spans="2:23" ht="15.95" customHeight="1" x14ac:dyDescent="0.4">
      <c r="B32" s="685" t="str">
        <f xml:space="preserve">
"　"&amp;
IF(はじめに入力してください!AF19="","","《金融機関名》"&amp;はじめに入力してください!AF19&amp;
IF(はじめに入力してください!AF21="","","《支店名》"&amp;はじめに入力してください!AF21&amp;
IF(はじめに入力してください!AF22="","","《口座種別》"&amp;IF(はじめに入力してください!AF22=1,"普通","当座")&amp;
IF(はじめに入力してください!AF23="","","《口座番号》"&amp;はじめに入力してください!AF23))))</f>
        <v>　</v>
      </c>
      <c r="C32" s="685"/>
      <c r="D32" s="685"/>
      <c r="E32" s="685"/>
      <c r="F32" s="685"/>
      <c r="G32" s="685"/>
      <c r="H32" s="685"/>
      <c r="I32" s="685"/>
      <c r="J32" s="685"/>
      <c r="K32" s="685"/>
      <c r="L32" s="685"/>
      <c r="M32" s="685"/>
      <c r="N32" s="685"/>
      <c r="O32" s="685"/>
      <c r="P32" s="685"/>
      <c r="Q32" s="685"/>
      <c r="R32" s="685"/>
      <c r="S32" s="685"/>
    </row>
    <row r="33" spans="2:22" ht="15.95" customHeight="1" x14ac:dyDescent="0.4">
      <c r="B33" s="685"/>
      <c r="C33" s="685"/>
      <c r="D33" s="685"/>
      <c r="E33" s="685"/>
      <c r="F33" s="685"/>
      <c r="G33" s="685"/>
      <c r="H33" s="685"/>
      <c r="I33" s="685"/>
      <c r="J33" s="685"/>
      <c r="K33" s="685"/>
      <c r="L33" s="685"/>
      <c r="M33" s="685"/>
      <c r="N33" s="685"/>
      <c r="O33" s="685"/>
      <c r="P33" s="685"/>
      <c r="Q33" s="685"/>
      <c r="R33" s="685"/>
      <c r="S33" s="685"/>
    </row>
    <row r="34" spans="2:22" ht="15.95" customHeight="1" x14ac:dyDescent="0.4">
      <c r="N34" s="219"/>
      <c r="O34" s="219"/>
      <c r="P34" s="219"/>
      <c r="Q34" s="219"/>
      <c r="R34" s="219"/>
      <c r="S34" s="51"/>
      <c r="V34" s="221" t="s">
        <v>360</v>
      </c>
    </row>
    <row r="35" spans="2:22" ht="15.95" customHeight="1" x14ac:dyDescent="0.4">
      <c r="B35" s="682" t="str">
        <f xml:space="preserve">
IF(OR(テーブル!B3=テーブル!D3,テーブル!B3=テーブル!D6,テーブル!B3=テーブル!D7,テーブル!B3=テーブル!D8),"【申請にあたっての申立事項】",
IF(OR(テーブル!B3=テーブル!D4,テーブル!B3=テーブル!D5),""))</f>
        <v>【申請にあたっての申立事項】</v>
      </c>
      <c r="C35" s="519"/>
      <c r="D35" s="519"/>
      <c r="E35" s="519"/>
      <c r="F35" s="519"/>
      <c r="G35" s="519"/>
      <c r="H35" s="519"/>
      <c r="I35" s="519"/>
      <c r="J35" s="519"/>
      <c r="K35" s="519"/>
      <c r="L35" s="519"/>
      <c r="M35" s="519"/>
      <c r="N35" s="519"/>
      <c r="O35" s="519"/>
      <c r="P35" s="519"/>
      <c r="Q35" s="519"/>
      <c r="R35" s="519"/>
      <c r="S35" s="51"/>
      <c r="V35" s="221" t="s">
        <v>361</v>
      </c>
    </row>
    <row r="36" spans="2:22" ht="5.0999999999999996" customHeight="1" x14ac:dyDescent="0.4">
      <c r="B36" s="676" t="str">
        <f xml:space="preserve">
IF(はじめに入力してください!H31="申立てする",表紙!V35,
IF(OR(はじめに入力してください!H31="申立てしない",はじめに入力してください!H31=""),表紙!V34))</f>
        <v>　申請者は、以下いずれの事項にも該当するものであることを申し立てます。
□　補助を受ける経費について他の補助金等の交付を受けていないこと。
□　外来対応医療機関として指定を受けてから少なくとも令和５年度中は指定継続の上、外来対応を行うこと。
□　令和５年度中に外来対応医療機関の指定が解除された際、本補助金の交付申請を取り下げること。
□　本補助金により整備した設備は新型コロナウイルス感染症対策の目的以外に使用しないこと。
□　本補助金の収入、支出等に係る証拠書類を５年間適切に整備保管すること。
□　暴力団員又は暴力団関係者と実質的を含めいかなる関係も有していないこと。</v>
      </c>
      <c r="C36" s="676"/>
      <c r="D36" s="676"/>
      <c r="E36" s="676"/>
      <c r="F36" s="676"/>
      <c r="G36" s="676"/>
      <c r="H36" s="676"/>
      <c r="I36" s="676"/>
      <c r="J36" s="676"/>
      <c r="K36" s="676"/>
      <c r="L36" s="676"/>
      <c r="M36" s="676"/>
      <c r="N36" s="676"/>
      <c r="O36" s="676"/>
      <c r="P36" s="676"/>
      <c r="Q36" s="676"/>
      <c r="R36" s="676"/>
    </row>
    <row r="37" spans="2:22" ht="30" customHeight="1" x14ac:dyDescent="0.4">
      <c r="B37" s="676"/>
      <c r="C37" s="676"/>
      <c r="D37" s="676"/>
      <c r="E37" s="676"/>
      <c r="F37" s="676"/>
      <c r="G37" s="676"/>
      <c r="H37" s="676"/>
      <c r="I37" s="676"/>
      <c r="J37" s="676"/>
      <c r="K37" s="676"/>
      <c r="L37" s="676"/>
      <c r="M37" s="676"/>
      <c r="N37" s="676"/>
      <c r="O37" s="676"/>
      <c r="P37" s="676"/>
      <c r="Q37" s="676"/>
      <c r="R37" s="676"/>
    </row>
    <row r="38" spans="2:22" ht="30" customHeight="1" x14ac:dyDescent="0.4">
      <c r="B38" s="676"/>
      <c r="C38" s="676"/>
      <c r="D38" s="676"/>
      <c r="E38" s="676"/>
      <c r="F38" s="676"/>
      <c r="G38" s="676"/>
      <c r="H38" s="676"/>
      <c r="I38" s="676"/>
      <c r="J38" s="676"/>
      <c r="K38" s="676"/>
      <c r="L38" s="676"/>
      <c r="M38" s="676"/>
      <c r="N38" s="676"/>
      <c r="O38" s="676"/>
      <c r="P38" s="676"/>
      <c r="Q38" s="676"/>
      <c r="R38" s="676"/>
    </row>
    <row r="39" spans="2:22" ht="30" customHeight="1" x14ac:dyDescent="0.4">
      <c r="B39" s="676"/>
      <c r="C39" s="676"/>
      <c r="D39" s="676"/>
      <c r="E39" s="676"/>
      <c r="F39" s="676"/>
      <c r="G39" s="676"/>
      <c r="H39" s="676"/>
      <c r="I39" s="676"/>
      <c r="J39" s="676"/>
      <c r="K39" s="676"/>
      <c r="L39" s="676"/>
      <c r="M39" s="676"/>
      <c r="N39" s="676"/>
      <c r="O39" s="676"/>
      <c r="P39" s="676"/>
      <c r="Q39" s="676"/>
      <c r="R39" s="676"/>
    </row>
    <row r="40" spans="2:22" ht="30" customHeight="1" x14ac:dyDescent="0.4">
      <c r="B40" s="676"/>
      <c r="C40" s="676"/>
      <c r="D40" s="676"/>
      <c r="E40" s="676"/>
      <c r="F40" s="676"/>
      <c r="G40" s="676"/>
      <c r="H40" s="676"/>
      <c r="I40" s="676"/>
      <c r="J40" s="676"/>
      <c r="K40" s="676"/>
      <c r="L40" s="676"/>
      <c r="M40" s="676"/>
      <c r="N40" s="676"/>
      <c r="O40" s="676"/>
      <c r="P40" s="676"/>
      <c r="Q40" s="676"/>
      <c r="R40" s="676"/>
    </row>
    <row r="41" spans="2:22" ht="5.0999999999999996" customHeight="1" x14ac:dyDescent="0.4">
      <c r="B41" s="676"/>
      <c r="C41" s="676"/>
      <c r="D41" s="676"/>
      <c r="E41" s="676"/>
      <c r="F41" s="676"/>
      <c r="G41" s="676"/>
      <c r="H41" s="676"/>
      <c r="I41" s="676"/>
      <c r="J41" s="676"/>
      <c r="K41" s="676"/>
      <c r="L41" s="676"/>
      <c r="M41" s="676"/>
      <c r="N41" s="676"/>
      <c r="O41" s="676"/>
      <c r="P41" s="676"/>
      <c r="Q41" s="676"/>
      <c r="R41" s="676"/>
    </row>
    <row r="42" spans="2:22" ht="9.9499999999999993" customHeight="1" x14ac:dyDescent="0.4">
      <c r="B42" s="165"/>
      <c r="C42" s="165"/>
      <c r="D42" s="165"/>
      <c r="E42" s="165"/>
      <c r="F42" s="165"/>
      <c r="G42" s="165"/>
      <c r="H42" s="165"/>
      <c r="I42" s="165"/>
      <c r="J42" s="165"/>
      <c r="K42" s="165"/>
      <c r="L42" s="165"/>
      <c r="M42" s="165"/>
      <c r="N42" s="165"/>
      <c r="O42" s="165"/>
      <c r="P42" s="165"/>
      <c r="Q42" s="165"/>
      <c r="R42" s="165"/>
    </row>
    <row r="43" spans="2:22" ht="15.95" customHeight="1" x14ac:dyDescent="0.4">
      <c r="B43" s="670"/>
      <c r="C43" s="671"/>
      <c r="D43" s="671"/>
      <c r="E43" s="671"/>
      <c r="F43" s="671"/>
      <c r="G43" s="671"/>
      <c r="H43" s="671"/>
      <c r="J43" s="677" t="s">
        <v>11</v>
      </c>
      <c r="K43" s="677"/>
      <c r="L43" s="678" t="str">
        <f>IF(はじめに入力してください!O14="×","",はじめに入力してください!H14)</f>
        <v/>
      </c>
      <c r="M43" s="678"/>
      <c r="N43" s="678"/>
      <c r="O43" s="678"/>
      <c r="P43" s="678"/>
      <c r="Q43" s="678"/>
      <c r="R43" s="678"/>
    </row>
    <row r="44" spans="2:22" ht="15.95" customHeight="1" x14ac:dyDescent="0.4">
      <c r="B44" s="671"/>
      <c r="C44" s="671"/>
      <c r="D44" s="671"/>
      <c r="E44" s="671"/>
      <c r="F44" s="671"/>
      <c r="G44" s="671"/>
      <c r="H44" s="671"/>
      <c r="J44" s="677" t="s">
        <v>12</v>
      </c>
      <c r="K44" s="677"/>
      <c r="L44" s="678" t="str">
        <f>IF(はじめに入力してください!O15="×","",はじめに入力してください!H15)</f>
        <v/>
      </c>
      <c r="M44" s="678"/>
      <c r="N44" s="678"/>
      <c r="O44" s="678"/>
      <c r="P44" s="678"/>
      <c r="Q44" s="678"/>
      <c r="R44" s="678"/>
    </row>
    <row r="45" spans="2:22" ht="15.95" customHeight="1" x14ac:dyDescent="0.4">
      <c r="B45" s="671"/>
      <c r="C45" s="671"/>
      <c r="D45" s="671"/>
      <c r="E45" s="671"/>
      <c r="F45" s="671"/>
      <c r="G45" s="671"/>
      <c r="H45" s="671"/>
      <c r="J45" s="677" t="s">
        <v>13</v>
      </c>
      <c r="K45" s="677"/>
      <c r="L45" s="678" t="str">
        <f>IF(はじめに入力してください!O16="×","",はじめに入力してください!AF16)</f>
        <v/>
      </c>
      <c r="M45" s="678"/>
      <c r="N45" s="678"/>
      <c r="O45" s="678"/>
      <c r="P45" s="678"/>
      <c r="Q45" s="678"/>
      <c r="R45" s="678"/>
    </row>
    <row r="46" spans="2:22" ht="15.95" customHeight="1" x14ac:dyDescent="0.4">
      <c r="B46" s="175"/>
      <c r="C46" s="175"/>
      <c r="D46" s="175"/>
      <c r="E46" s="175"/>
      <c r="F46" s="175"/>
      <c r="G46" s="175"/>
      <c r="H46" s="175"/>
      <c r="J46" s="677" t="s">
        <v>14</v>
      </c>
      <c r="K46" s="677"/>
      <c r="L46" s="679" t="str">
        <f>IF(はじめに入力してください!O17="×","",はじめに入力してください!H17)</f>
        <v/>
      </c>
      <c r="M46" s="679"/>
      <c r="N46" s="679"/>
      <c r="O46" s="679"/>
      <c r="P46" s="679"/>
      <c r="Q46" s="679"/>
      <c r="R46" s="679"/>
    </row>
    <row r="47" spans="2:22" ht="18" customHeight="1" x14ac:dyDescent="0.4"/>
    <row r="48" spans="2:22" ht="18" customHeight="1" x14ac:dyDescent="0.4"/>
    <row r="49" spans="37:42" ht="18" customHeight="1" x14ac:dyDescent="0.4"/>
    <row r="50" spans="37:42" ht="30" customHeight="1" x14ac:dyDescent="0.4">
      <c r="AM50" s="176"/>
      <c r="AN50" s="177"/>
      <c r="AO50" s="177"/>
      <c r="AP50" s="178"/>
    </row>
    <row r="51" spans="37:42" ht="30" customHeight="1" x14ac:dyDescent="0.4">
      <c r="AM51" s="179"/>
      <c r="AN51" s="51"/>
      <c r="AO51" s="51"/>
      <c r="AP51" s="180"/>
    </row>
    <row r="52" spans="37:42" ht="27" customHeight="1" x14ac:dyDescent="0.4">
      <c r="AM52" s="181"/>
      <c r="AN52" s="669" t="str">
        <f>はじめに入力してください!AF12</f>
        <v/>
      </c>
      <c r="AO52" s="669"/>
      <c r="AP52" s="182"/>
    </row>
    <row r="53" spans="37:42" ht="27" customHeight="1" x14ac:dyDescent="0.4">
      <c r="AK53" s="226">
        <v>12</v>
      </c>
      <c r="AM53" s="183"/>
      <c r="AN53" s="669" t="str">
        <f>IF(COUNTA(AK53)=1,"確保第"&amp;AK53&amp;"号","")</f>
        <v>確保第12号</v>
      </c>
      <c r="AO53" s="669"/>
      <c r="AP53" s="182"/>
    </row>
    <row r="54" spans="37:42" ht="24.95" customHeight="1" x14ac:dyDescent="0.4">
      <c r="AM54" s="183"/>
      <c r="AN54" s="184"/>
      <c r="AO54" s="185"/>
      <c r="AP54" s="182"/>
    </row>
    <row r="55" spans="37:42" ht="30" customHeight="1" x14ac:dyDescent="0.4">
      <c r="AM55" s="186"/>
      <c r="AN55" s="187"/>
      <c r="AO55" s="187"/>
      <c r="AP55" s="188"/>
    </row>
    <row r="56" spans="37:42" ht="20.100000000000001" customHeight="1" x14ac:dyDescent="0.4">
      <c r="AM56" s="189"/>
      <c r="AN56" s="190"/>
      <c r="AO56" s="190"/>
      <c r="AP56" s="191"/>
    </row>
  </sheetData>
  <sheetProtection algorithmName="SHA-512" hashValue="m9NQb8u3tmsjqfer9zDIbk7ZOPieuDqGI/AaPBafJA92p/8QgYIASWnsCElrF0/Xwf5y8Ei/QgUx+CbPzRaOdg==" saltValue="Du6zsFTlgnjMIWwFOa3P9A==" spinCount="100000" sheet="1" formatCells="0" formatColumns="0" formatRows="0"/>
  <mergeCells count="44">
    <mergeCell ref="J45:K45"/>
    <mergeCell ref="J43:K43"/>
    <mergeCell ref="B18:R18"/>
    <mergeCell ref="B35:R35"/>
    <mergeCell ref="V18:W19"/>
    <mergeCell ref="B19:R19"/>
    <mergeCell ref="B32:S33"/>
    <mergeCell ref="AN52:AO52"/>
    <mergeCell ref="AN53:AO53"/>
    <mergeCell ref="B43:H45"/>
    <mergeCell ref="C30:N30"/>
    <mergeCell ref="B26:R26"/>
    <mergeCell ref="B29:I29"/>
    <mergeCell ref="B36:R41"/>
    <mergeCell ref="J46:K46"/>
    <mergeCell ref="L43:R43"/>
    <mergeCell ref="L44:R44"/>
    <mergeCell ref="L45:R45"/>
    <mergeCell ref="L46:R46"/>
    <mergeCell ref="J44:K44"/>
    <mergeCell ref="B28:R28"/>
    <mergeCell ref="B27:R27"/>
    <mergeCell ref="B31:Q31"/>
    <mergeCell ref="L9:R9"/>
    <mergeCell ref="L10:R10"/>
    <mergeCell ref="I8:K8"/>
    <mergeCell ref="I9:K9"/>
    <mergeCell ref="B17:R17"/>
    <mergeCell ref="O2:S2"/>
    <mergeCell ref="C21:F21"/>
    <mergeCell ref="C22:F22"/>
    <mergeCell ref="H20:L20"/>
    <mergeCell ref="H22:L22"/>
    <mergeCell ref="H21:L21"/>
    <mergeCell ref="I10:K10"/>
    <mergeCell ref="B12:R12"/>
    <mergeCell ref="A14:S14"/>
    <mergeCell ref="N4:R4"/>
    <mergeCell ref="M20:S21"/>
    <mergeCell ref="N5:R5"/>
    <mergeCell ref="C20:F20"/>
    <mergeCell ref="B6:G6"/>
    <mergeCell ref="B15:R15"/>
    <mergeCell ref="L8:R8"/>
  </mergeCells>
  <phoneticPr fontId="1"/>
  <conditionalFormatting sqref="H20:H22">
    <cfRule type="containsText" dxfId="52" priority="1" operator="containsText" text="不備">
      <formula>NOT(ISERROR(SEARCH("不備",H20)))</formula>
    </cfRule>
  </conditionalFormatting>
  <printOptions horizontalCentered="1"/>
  <pageMargins left="0.59055118110236227" right="0.39370078740157483" top="0.39370078740157483" bottom="0.39370078740157483" header="0.31496062992125984" footer="0.31496062992125984"/>
  <pageSetup paperSize="9" scale="9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M21"/>
  <sheetViews>
    <sheetView showGridLines="0" view="pageBreakPreview" topLeftCell="B1" zoomScale="60" zoomScaleNormal="100" workbookViewId="0">
      <selection activeCell="L16" sqref="L16"/>
    </sheetView>
  </sheetViews>
  <sheetFormatPr defaultColWidth="9" defaultRowHeight="18" x14ac:dyDescent="0.4"/>
  <cols>
    <col min="1" max="1" width="2.625" style="47" customWidth="1"/>
    <col min="2" max="2" width="40.625" style="47" customWidth="1"/>
    <col min="3" max="9" width="15.625" style="47" customWidth="1"/>
    <col min="10" max="10" width="10.75" style="47" customWidth="1"/>
    <col min="11" max="11" width="12.625" style="47" customWidth="1"/>
    <col min="12" max="12" width="15" style="47" customWidth="1"/>
    <col min="13" max="13" width="12.75" style="49" customWidth="1"/>
    <col min="14" max="16384" width="9" style="47"/>
  </cols>
  <sheetData>
    <row r="1" spans="2:13" ht="24.95" customHeight="1" x14ac:dyDescent="0.4">
      <c r="B1" s="47" t="str">
        <f xml:space="preserve">
IF(OR(テーブル!B3="事前協議",テーブル!B3="交付申請兼実績報告書",テーブル!B3="交付申請",テーブル!B3="交付申請（２次以降）"),"様式１－１",
IF(テーブル!B3="変更申請","様式１－１",
IF(テーブル!B3="実績報告","様式３－１")))</f>
        <v>様式１－１</v>
      </c>
      <c r="I1" s="688"/>
      <c r="J1" s="689"/>
    </row>
    <row r="2" spans="2:13" ht="24.95" customHeight="1" x14ac:dyDescent="0.4">
      <c r="B2" s="666" t="str">
        <f xml:space="preserve">
IF(テーブル!B3="交付申請兼実績報告書",
"令和５年度　新型コロナウイルス感染症外来対応医療機関確保事業費補助金経費経費精算書",
IF(テーブル!B3="事前協議",
"令和５年度　新型コロナウイルス感染症外来対応医療機関確保事業費補助金経費経費精算書（案）"))</f>
        <v>令和５年度　新型コロナウイルス感染症外来対応医療機関確保事業費補助金経費経費精算書（案）</v>
      </c>
      <c r="C2" s="666"/>
      <c r="D2" s="666"/>
      <c r="E2" s="666"/>
      <c r="F2" s="666"/>
      <c r="G2" s="666"/>
      <c r="H2" s="666"/>
      <c r="I2" s="666"/>
      <c r="J2" s="130"/>
    </row>
    <row r="3" spans="2:13" ht="24.95" customHeight="1" x14ac:dyDescent="0.4">
      <c r="B3" s="130"/>
      <c r="C3" s="130"/>
      <c r="D3" s="130"/>
      <c r="E3" s="130"/>
      <c r="F3" s="130"/>
      <c r="G3" s="50" t="s">
        <v>33</v>
      </c>
      <c r="H3" s="692" t="str">
        <f>IF(はじめに入力してください!H10=0,"",はじめに入力してください!H10)</f>
        <v/>
      </c>
      <c r="I3" s="650"/>
      <c r="J3" s="21"/>
    </row>
    <row r="4" spans="2:13" ht="24.95" customHeight="1" x14ac:dyDescent="0.4">
      <c r="B4" s="51"/>
      <c r="C4" s="51"/>
      <c r="D4" s="51"/>
      <c r="E4" s="51"/>
      <c r="F4" s="51"/>
      <c r="G4" s="52" t="str">
        <f xml:space="preserve">
IF(OR(テーブル!B3="交付申請",テーブル!B3="交付申請（２次以降）"),"事業完了予定日",
IF(テーブル!B3="変更申請","事業完了予定日",
IF(OR(テーブル!B3="事前協議",テーブル!B3="交付申請兼実績報告書",テーブル!B3="実績報告"),"事業完了日")))</f>
        <v>事業完了日</v>
      </c>
      <c r="H4" s="693" t="str">
        <f ca="1">IF(MAX(額内訳書!AE6:AE10)=0,"",MAX(額内訳書!AE6:AE10))</f>
        <v/>
      </c>
      <c r="I4" s="693"/>
      <c r="J4" s="104"/>
    </row>
    <row r="5" spans="2:13" ht="60" customHeight="1" x14ac:dyDescent="0.4">
      <c r="B5" s="53" t="s">
        <v>37</v>
      </c>
      <c r="C5" s="53" t="s">
        <v>39</v>
      </c>
      <c r="D5" s="53" t="str">
        <f xml:space="preserve">
IF(OR(テーブル!B3="事前協議",テーブル!B3="交付申請兼実績報告書",テーブル!B3="交付申請",テーブル!B3="交付申請（２次以降）"),"寄付金その他の"&amp;CHAR(10)&amp;"収入予定額"&amp;CHAR(10)&amp;"(B)",
IF(テーブル!B3="変更申請","寄付金その他の"&amp;CHAR(10)&amp;"収入予定額"&amp;CHAR(10)&amp;"(B)",
IF(テーブル!B3="実績報告","寄付金その他の"&amp;CHAR(10)&amp;"収入済額"&amp;CHAR(10)&amp;"(B)")))</f>
        <v>寄付金その他の
収入予定額
(B)</v>
      </c>
      <c r="E5" s="53" t="s">
        <v>1</v>
      </c>
      <c r="F5" s="53" t="str">
        <f xml:space="preserve">
IF(OR(テーブル!B3="交付申請",テーブル!B3="交付申請（２次以降）"),"対象経費"&amp;CHAR(10)&amp;"支出予定額"&amp;CHAR(10)&amp;"(D)",
IF(テーブル!B3="変更申請","対象経費"&amp;CHAR(10)&amp;"支出予定額"&amp;CHAR(10)&amp;"(D)",
IF(OR(テーブル!B3="事前協議",テーブル!B3="交付申請兼実績報告書",テーブル!B3="実績報告"),"対象経費"&amp;CHAR(10)&amp;"支出済額"&amp;CHAR(10)&amp;"(D)")))</f>
        <v>対象経費
支出済額
(D)</v>
      </c>
      <c r="G5" s="53" t="s">
        <v>164</v>
      </c>
      <c r="H5" s="53" t="s">
        <v>165</v>
      </c>
      <c r="I5" s="53" t="s">
        <v>166</v>
      </c>
      <c r="J5" s="53" t="s">
        <v>36</v>
      </c>
    </row>
    <row r="6" spans="2:13" ht="30" customHeight="1" x14ac:dyDescent="0.4">
      <c r="B6" s="694" t="str">
        <f>額内訳書!B6</f>
        <v>患者案内のための看板の設置料</v>
      </c>
      <c r="C6" s="55">
        <f ca="1">額内訳書!F6</f>
        <v>0</v>
      </c>
      <c r="D6" s="141">
        <v>0</v>
      </c>
      <c r="E6" s="55">
        <f ca="1">C6-D6</f>
        <v>0</v>
      </c>
      <c r="F6" s="55">
        <f ca="1">E6</f>
        <v>0</v>
      </c>
      <c r="G6" s="55">
        <f ca="1">F6</f>
        <v>0</v>
      </c>
      <c r="H6" s="55">
        <f ca="1">G6</f>
        <v>0</v>
      </c>
      <c r="I6" s="55">
        <f ca="1">ROUNDDOWN(H6,-3)</f>
        <v>0</v>
      </c>
      <c r="J6" s="694" t="str">
        <f xml:space="preserve">
IF(OR(テーブル!B3="事前協議",テーブル!B3="交付申請兼実績報告書",テーブル!B3="交付申請",テーブル!B3="交付申請（２次以降）"),"内訳は様式1-2のとおり",
IF(テーブル!B3="変更申請","内訳は様式1-2のとおり",
IF(テーブル!B3="実績報告","内訳は様式3-2のとおり")))</f>
        <v>内訳は様式1-2のとおり</v>
      </c>
    </row>
    <row r="7" spans="2:13" ht="30" customHeight="1" x14ac:dyDescent="0.4">
      <c r="B7" s="695"/>
      <c r="C7" s="56"/>
      <c r="D7" s="142"/>
      <c r="E7" s="56"/>
      <c r="F7" s="56"/>
      <c r="G7" s="56"/>
      <c r="H7" s="56"/>
      <c r="I7" s="56"/>
      <c r="J7" s="696"/>
      <c r="L7" s="51"/>
      <c r="M7" s="54"/>
    </row>
    <row r="8" spans="2:13" ht="30" customHeight="1" x14ac:dyDescent="0.4">
      <c r="B8" s="694" t="str">
        <f>額内訳書!B7</f>
        <v xml:space="preserve"> ホームページ上に外来対応医療機関である
ことを明記するための改修費</v>
      </c>
      <c r="C8" s="55">
        <f>額内訳書!F7</f>
        <v>0</v>
      </c>
      <c r="D8" s="141">
        <v>0</v>
      </c>
      <c r="E8" s="55">
        <f>C8-D8</f>
        <v>0</v>
      </c>
      <c r="F8" s="55">
        <f>E8</f>
        <v>0</v>
      </c>
      <c r="G8" s="55">
        <f>F8</f>
        <v>0</v>
      </c>
      <c r="H8" s="55">
        <f>G8</f>
        <v>0</v>
      </c>
      <c r="I8" s="55">
        <f>ROUNDDOWN(H8,-3)</f>
        <v>0</v>
      </c>
      <c r="J8" s="696"/>
      <c r="L8" s="51"/>
      <c r="M8" s="54"/>
    </row>
    <row r="9" spans="2:13" ht="30" customHeight="1" x14ac:dyDescent="0.4">
      <c r="B9" s="695"/>
      <c r="C9" s="56"/>
      <c r="D9" s="142"/>
      <c r="E9" s="56"/>
      <c r="F9" s="56"/>
      <c r="G9" s="56"/>
      <c r="H9" s="56"/>
      <c r="I9" s="56"/>
      <c r="J9" s="696"/>
    </row>
    <row r="10" spans="2:13" ht="30" customHeight="1" x14ac:dyDescent="0.4">
      <c r="B10" s="694" t="str">
        <f>額内訳書!B8</f>
        <v>換気設備設置のための軽微な改修等の修繕費</v>
      </c>
      <c r="C10" s="55">
        <f>額内訳書!F8</f>
        <v>0</v>
      </c>
      <c r="D10" s="141">
        <v>0</v>
      </c>
      <c r="E10" s="55">
        <f>C10-D10</f>
        <v>0</v>
      </c>
      <c r="F10" s="55">
        <f>E10</f>
        <v>0</v>
      </c>
      <c r="G10" s="55">
        <f>F10</f>
        <v>0</v>
      </c>
      <c r="H10" s="55">
        <f>G10</f>
        <v>0</v>
      </c>
      <c r="I10" s="55">
        <f>ROUNDDOWN(H10,-3)</f>
        <v>0</v>
      </c>
      <c r="J10" s="696"/>
    </row>
    <row r="11" spans="2:13" ht="30" customHeight="1" x14ac:dyDescent="0.4">
      <c r="B11" s="695"/>
      <c r="C11" s="56"/>
      <c r="D11" s="142"/>
      <c r="E11" s="56"/>
      <c r="F11" s="56"/>
      <c r="G11" s="56"/>
      <c r="H11" s="56"/>
      <c r="I11" s="56"/>
      <c r="J11" s="696"/>
    </row>
    <row r="12" spans="2:13" ht="30" customHeight="1" x14ac:dyDescent="0.4">
      <c r="B12" s="694" t="str">
        <f>額内訳書!B9</f>
        <v>医療機器
（パルスオキシメーター等）</v>
      </c>
      <c r="C12" s="55">
        <f>額内訳書!F9</f>
        <v>0</v>
      </c>
      <c r="D12" s="141">
        <v>0</v>
      </c>
      <c r="E12" s="55">
        <f>C12-D12</f>
        <v>0</v>
      </c>
      <c r="F12" s="55">
        <f>E12</f>
        <v>0</v>
      </c>
      <c r="G12" s="55">
        <f>F12</f>
        <v>0</v>
      </c>
      <c r="H12" s="55">
        <f>G12</f>
        <v>0</v>
      </c>
      <c r="I12" s="55">
        <f>ROUNDDOWN(H12,-3)</f>
        <v>0</v>
      </c>
      <c r="J12" s="696"/>
    </row>
    <row r="13" spans="2:13" ht="30" customHeight="1" x14ac:dyDescent="0.4">
      <c r="B13" s="695"/>
      <c r="C13" s="56"/>
      <c r="D13" s="142"/>
      <c r="E13" s="56"/>
      <c r="F13" s="56"/>
      <c r="G13" s="56"/>
      <c r="H13" s="56"/>
      <c r="I13" s="56"/>
      <c r="J13" s="696"/>
    </row>
    <row r="14" spans="2:13" ht="30" customHeight="1" x14ac:dyDescent="0.4">
      <c r="B14" s="694" t="str">
        <f>額内訳書!B10</f>
        <v>非接触サーモグラフィーカメラ
（検温・消毒機能付き）</v>
      </c>
      <c r="C14" s="55">
        <f>額内訳書!F10</f>
        <v>0</v>
      </c>
      <c r="D14" s="141">
        <v>0</v>
      </c>
      <c r="E14" s="55">
        <f>C14-D14</f>
        <v>0</v>
      </c>
      <c r="F14" s="55">
        <f>E14</f>
        <v>0</v>
      </c>
      <c r="G14" s="55">
        <f>F14</f>
        <v>0</v>
      </c>
      <c r="H14" s="55">
        <f>G14</f>
        <v>0</v>
      </c>
      <c r="I14" s="55">
        <f>ROUNDDOWN(H14,-3)</f>
        <v>0</v>
      </c>
      <c r="J14" s="696"/>
    </row>
    <row r="15" spans="2:13" ht="30" customHeight="1" x14ac:dyDescent="0.4">
      <c r="B15" s="695"/>
      <c r="C15" s="56"/>
      <c r="D15" s="142"/>
      <c r="E15" s="56"/>
      <c r="F15" s="56"/>
      <c r="G15" s="56"/>
      <c r="H15" s="56"/>
      <c r="I15" s="56"/>
      <c r="J15" s="696"/>
    </row>
    <row r="16" spans="2:13" ht="30" customHeight="1" x14ac:dyDescent="0.4">
      <c r="B16" s="690" t="s">
        <v>2</v>
      </c>
      <c r="C16" s="55">
        <f ca="1">C6+C8+C10+C12+C14</f>
        <v>0</v>
      </c>
      <c r="D16" s="55">
        <f t="shared" ref="D16:H16" si="0">D6+D8+D10+D12+D14</f>
        <v>0</v>
      </c>
      <c r="E16" s="55">
        <f t="shared" ca="1" si="0"/>
        <v>0</v>
      </c>
      <c r="F16" s="55">
        <f t="shared" ca="1" si="0"/>
        <v>0</v>
      </c>
      <c r="G16" s="55">
        <f t="shared" ca="1" si="0"/>
        <v>0</v>
      </c>
      <c r="H16" s="55">
        <f t="shared" ca="1" si="0"/>
        <v>0</v>
      </c>
      <c r="I16" s="55">
        <f ca="1">SUM(I6,I8,I10,I12,I14)</f>
        <v>0</v>
      </c>
      <c r="J16" s="696"/>
      <c r="K16" s="99"/>
      <c r="M16" s="47"/>
    </row>
    <row r="17" spans="2:13" ht="30" customHeight="1" x14ac:dyDescent="0.4">
      <c r="B17" s="691"/>
      <c r="C17" s="56" t="str">
        <f>IF(テーブル!B3="変更申請",SUM(C7,C9,C11,C13,C15),"")</f>
        <v/>
      </c>
      <c r="D17" s="56" t="str">
        <f>IF(テーブル!B3="変更申請",SUM(D7,D9,D11,D13,D15),"")</f>
        <v/>
      </c>
      <c r="E17" s="56" t="str">
        <f>IF(テーブル!B3="変更申請",SUM(E7,E9,E11,E13,E15),"")</f>
        <v/>
      </c>
      <c r="F17" s="56" t="str">
        <f>IF(テーブル!B3="変更申請",SUM(F7,F9,F11,F13,F15),"")</f>
        <v/>
      </c>
      <c r="G17" s="56" t="str">
        <f>IF(テーブル!B3="変更申請",SUM(G7,G9,G11,G13,G15),"")</f>
        <v/>
      </c>
      <c r="H17" s="56" t="str">
        <f>IF(テーブル!B3="変更申請",SUM(H7,H9,H11,H13,H15),"")</f>
        <v/>
      </c>
      <c r="I17" s="56" t="str">
        <f>IF(テーブル!B3="変更申請",SUM(I7,I9,I11,I13,I15),"")</f>
        <v/>
      </c>
      <c r="J17" s="695"/>
      <c r="K17" s="98"/>
      <c r="M17" s="47"/>
    </row>
    <row r="18" spans="2:13" ht="21.75" customHeight="1" x14ac:dyDescent="0.4">
      <c r="B18" s="47" t="s">
        <v>167</v>
      </c>
      <c r="G18" s="686" t="str">
        <f ca="1">IF(I16&gt;0,"補助上限額：500,000円→補助額：","")</f>
        <v/>
      </c>
      <c r="H18" s="687"/>
      <c r="I18" s="213" t="str">
        <f ca="1">IF(I16&gt;0,MIN(I16,500000),"")</f>
        <v/>
      </c>
      <c r="M18" s="47"/>
    </row>
    <row r="19" spans="2:13" ht="20.100000000000001" customHeight="1" x14ac:dyDescent="0.4">
      <c r="M19" s="47"/>
    </row>
    <row r="20" spans="2:13" ht="20.100000000000001" customHeight="1" x14ac:dyDescent="0.4">
      <c r="M20" s="47"/>
    </row>
    <row r="21" spans="2:13" ht="20.100000000000001" customHeight="1" x14ac:dyDescent="0.4">
      <c r="M21" s="47"/>
    </row>
  </sheetData>
  <sheetProtection algorithmName="SHA-512" hashValue="b2HLvRXkDmmicl8RobBOlWl2owRkGr2e3LgvpSYlSZ995rwcw0Y/7hISs1cq4fUy8yzCG3nrGkNwpxdeD9v23w==" saltValue="vtQCGqHos1XcY3DN6CyHvA==" spinCount="100000" sheet="1" objects="1" scenarios="1"/>
  <mergeCells count="12">
    <mergeCell ref="G18:H18"/>
    <mergeCell ref="I1:J1"/>
    <mergeCell ref="B16:B17"/>
    <mergeCell ref="H3:I3"/>
    <mergeCell ref="H4:I4"/>
    <mergeCell ref="B14:B15"/>
    <mergeCell ref="B2:I2"/>
    <mergeCell ref="B6:B7"/>
    <mergeCell ref="B8:B9"/>
    <mergeCell ref="B10:B11"/>
    <mergeCell ref="B12:B13"/>
    <mergeCell ref="J6:J17"/>
  </mergeCells>
  <phoneticPr fontId="1"/>
  <dataValidations count="1">
    <dataValidation allowBlank="1" showInputMessage="1" showErrorMessage="1" promptTitle="「寄付金その他の収入予定額（B）」欄について" prompt="本補助金で申請した「総事業費（A）」に対して、本補助金以外の寄付金やその他の収入を充てている場合はその金額を、ない場合は「0」円を入力してください。 _x000a_" sqref="D6:D15" xr:uid="{00000000-0002-0000-0500-000000000000}"/>
  </dataValidations>
  <printOptions horizontalCentered="1"/>
  <pageMargins left="0.59055118110236227" right="0.39370078740157483" top="0.98425196850393704" bottom="0.39370078740157483" header="0.31496062992125984" footer="0.31496062992125984"/>
  <pageSetup paperSize="9" scale="70" fitToWidth="0" fitToHeight="0" orientation="landscape" r:id="rId1"/>
  <colBreaks count="1" manualBreakCount="1">
    <brk id="10"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1:AW12"/>
  <sheetViews>
    <sheetView showGridLines="0" view="pageBreakPreview" topLeftCell="A7" zoomScale="60" zoomScaleNormal="37" workbookViewId="0">
      <selection activeCell="E17" sqref="E17"/>
    </sheetView>
  </sheetViews>
  <sheetFormatPr defaultColWidth="9" defaultRowHeight="24" x14ac:dyDescent="0.4"/>
  <cols>
    <col min="1" max="1" width="2.625" style="1" customWidth="1"/>
    <col min="2" max="2" width="50.625" style="1" customWidth="1"/>
    <col min="3" max="3" width="30.625" style="1" customWidth="1"/>
    <col min="4" max="4" width="20.625" style="1" customWidth="1"/>
    <col min="5" max="6" width="30.625" style="1" customWidth="1"/>
    <col min="7" max="7" width="10.625" style="1" customWidth="1"/>
    <col min="8" max="8" width="7.375" style="1" customWidth="1"/>
    <col min="9" max="9" width="7.625" style="1" customWidth="1"/>
    <col min="10" max="15" width="5.625" style="1" customWidth="1"/>
    <col min="16" max="16" width="5.625" style="2" customWidth="1"/>
    <col min="17" max="17" width="2.625" style="1" customWidth="1"/>
    <col min="18" max="25" width="8.625" style="1" customWidth="1"/>
    <col min="26" max="29" width="9" style="1"/>
    <col min="30" max="30" width="10.625" style="3" customWidth="1"/>
    <col min="31" max="33" width="9" style="1"/>
    <col min="34" max="34" width="14.125" style="1" bestFit="1" customWidth="1"/>
    <col min="35" max="35" width="10.625" style="1" customWidth="1"/>
    <col min="36" max="36" width="10.625" style="7" customWidth="1"/>
    <col min="37" max="43" width="10.625" style="1" customWidth="1"/>
    <col min="44" max="44" width="9" style="2"/>
    <col min="45" max="46" width="9" style="1"/>
    <col min="47" max="47" width="90.625" style="4" customWidth="1"/>
    <col min="48" max="48" width="30.625" style="75" customWidth="1"/>
    <col min="49" max="49" width="16.75" style="1" bestFit="1" customWidth="1"/>
    <col min="50" max="16384" width="9" style="1"/>
  </cols>
  <sheetData>
    <row r="1" spans="2:49" ht="39.950000000000003" customHeight="1" x14ac:dyDescent="0.4">
      <c r="B1" s="1" t="str">
        <f xml:space="preserve">
IF(OR(テーブル!B3="事前協議",テーブル!B3="交付申請兼実績報告書",テーブル!B3="交付申請",テーブル!B3="交付申請（２次以降）"),"様式１－２",
IF(テーブル!B3="変更申請","様式１－２",
IF(テーブル!B3="実績報告","様式３－２")))</f>
        <v>様式１－２</v>
      </c>
      <c r="J1" s="688"/>
      <c r="K1" s="650"/>
      <c r="L1" s="650"/>
      <c r="M1" s="650"/>
      <c r="N1" s="650"/>
      <c r="O1" s="650"/>
      <c r="P1" s="650"/>
      <c r="AI1" s="67"/>
      <c r="AJ1" s="68"/>
      <c r="AK1" s="68"/>
      <c r="AL1" s="68"/>
      <c r="AM1" s="68"/>
      <c r="AN1" s="68"/>
      <c r="AO1" s="66"/>
      <c r="AP1" s="1" t="e">
        <f>IF(AO2=#REF!,"OK","エラー")</f>
        <v>#REF!</v>
      </c>
    </row>
    <row r="2" spans="2:49" ht="24.95" customHeight="1" x14ac:dyDescent="0.4">
      <c r="B2" s="705" t="str">
        <f xml:space="preserve">
IF(テーブル!B3="交付申請兼実績報告書",
"令和５年度　新型コロナウイルス感染症外来対応医療機関確保事業費補助金　基準額算出内訳及び対象経費実支出額内訳書",
IF(テーブル!B3="事前協議",
"令和５年度　新型コロナウイルス感染症外来対応医療機関確保事業費補助金　基準額算出内訳及び対象経費実支出額内訳書（案）"))</f>
        <v>令和５年度　新型コロナウイルス感染症外来対応医療機関確保事業費補助金　基準額算出内訳及び対象経費実支出額内訳書（案）</v>
      </c>
      <c r="C2" s="531"/>
      <c r="D2" s="531"/>
      <c r="E2" s="531"/>
      <c r="F2" s="531"/>
      <c r="G2" s="531"/>
      <c r="H2" s="531"/>
      <c r="I2" s="531"/>
      <c r="J2" s="531"/>
      <c r="K2" s="531"/>
      <c r="L2" s="531"/>
      <c r="M2" s="531"/>
      <c r="N2" s="531"/>
      <c r="O2" s="531"/>
      <c r="P2" s="531"/>
      <c r="AI2" s="69"/>
      <c r="AJ2" s="5"/>
      <c r="AK2" s="5"/>
      <c r="AL2" s="5"/>
      <c r="AM2" s="5"/>
      <c r="AN2" s="5"/>
      <c r="AO2" s="5"/>
      <c r="AP2" s="5"/>
      <c r="AR2" s="706" t="s">
        <v>132</v>
      </c>
      <c r="AS2" s="707"/>
      <c r="AT2" s="710" t="str">
        <f ca="1" xml:space="preserve">
IF(COUNTIF(AQ6:AQ10,"×")&gt;=1,"×",
IF(AND(COUNTIF(AQ6:AQ10,"×")=0,COUNTIF(AQ6:AQ10,"◎")&gt;=1),"○",
IF(COUNTIF(AQ6:AQ10,"○")=8,"×")))</f>
        <v>×</v>
      </c>
      <c r="AU2" s="697" t="str">
        <f ca="1" xml:space="preserve">
IF(COUNTIF(AQ6:AQ10,"×")&gt;=1,"【要修正】未入力または記載不十分の箇所があるため赤色表示の行を確認してください。",
IF(AND(COUNTIF(AQ6:AQ10,"×")=0,COUNTIF(AQ6:AQ10,"◎")&gt;=1),"適切に入力がされました。",
IF(COUNTIF(AQ6:AQ10,"○")=8,"【要修正】未入力の状態です。")))</f>
        <v>【要修正】未入力または記載不十分の箇所があるため赤色表示の行を確認してください。</v>
      </c>
      <c r="AV2" s="107" t="s">
        <v>135</v>
      </c>
      <c r="AW2" s="105" t="s">
        <v>134</v>
      </c>
    </row>
    <row r="3" spans="2:49" ht="31.35" customHeight="1" x14ac:dyDescent="0.4">
      <c r="B3" s="6"/>
      <c r="C3" s="6"/>
      <c r="D3" s="6"/>
      <c r="E3" s="6"/>
      <c r="F3" s="6"/>
      <c r="G3" s="6"/>
      <c r="H3" s="6"/>
      <c r="I3" s="6"/>
      <c r="J3" s="6"/>
      <c r="K3" s="6"/>
      <c r="L3" s="6"/>
      <c r="M3" s="6"/>
      <c r="N3" s="6"/>
      <c r="O3" s="6"/>
      <c r="P3" s="66"/>
      <c r="R3" s="2"/>
      <c r="AI3" s="66"/>
      <c r="AJ3" s="5"/>
      <c r="AK3" s="5"/>
      <c r="AL3" s="5"/>
      <c r="AM3" s="5"/>
      <c r="AN3" s="5"/>
      <c r="AO3" s="5"/>
      <c r="AP3" s="5"/>
      <c r="AR3" s="708"/>
      <c r="AS3" s="709"/>
      <c r="AT3" s="711"/>
      <c r="AU3" s="698"/>
      <c r="AV3" s="108"/>
      <c r="AW3" s="106"/>
    </row>
    <row r="4" spans="2:49" ht="48" customHeight="1" x14ac:dyDescent="0.4">
      <c r="B4" s="701" t="s">
        <v>34</v>
      </c>
      <c r="C4" s="700" t="str">
        <f xml:space="preserve">
IF(OR(テーブル!B3="交付申請",テーブル!B3="交付申請（２次以降）"),"対象経費支出予定額",
IF(テーブル!B3="変更申請","対象経費支出予定額",
IF(OR(テーブル!B3="事前協議",テーブル!B3="実績報告",テーブル!B3="交付申請兼実績報告書"),"対象経費実支出額")))</f>
        <v>対象経費実支出額</v>
      </c>
      <c r="D4" s="700"/>
      <c r="E4" s="700"/>
      <c r="F4" s="700"/>
      <c r="G4" s="713" t="str">
        <f xml:space="preserve">
IF(OR(テーブル!B3="交付申請",テーブル!B3="交付申請（２次以降）"),"事業完了予定日"&amp;CHAR(10)&amp;"（複数の場合は最終納品の予定日）",
IF((テーブル!B3="変更申請"),"事業完了予定日"&amp;CHAR(10)&amp;"（複数の場合は最終納品の予定日）",
IF((テーブル!B3="事前協議"),"事業完了日"&amp;CHAR(10)&amp;"（複数の場合は最終の事業完了日）",
IF(OR(テーブル!B3="実績報告",テーブル!B3="交付申請兼実績報告書"),"事業完了日"&amp;CHAR(10)&amp;"（複数の場合は最終納品日）"))))</f>
        <v>事業完了日
（複数の場合は最終の事業完了日）</v>
      </c>
      <c r="H4" s="714"/>
      <c r="I4" s="714"/>
      <c r="J4" s="714"/>
      <c r="K4" s="715"/>
      <c r="L4" s="715"/>
      <c r="M4" s="617"/>
      <c r="P4" s="1"/>
      <c r="AA4" s="68"/>
      <c r="AB4" s="65"/>
      <c r="AC4" s="65"/>
      <c r="AD4" s="65"/>
      <c r="AF4" s="66"/>
      <c r="AG4" s="5"/>
      <c r="AH4" s="5"/>
      <c r="AI4" s="5"/>
      <c r="AJ4" s="5"/>
      <c r="AK4" s="5"/>
      <c r="AL4" s="5"/>
      <c r="AM4" s="5"/>
      <c r="AO4" s="712" t="s">
        <v>54</v>
      </c>
      <c r="AP4" s="699" t="s">
        <v>133</v>
      </c>
      <c r="AQ4" s="699" t="s">
        <v>68</v>
      </c>
      <c r="AR4" s="699" t="s">
        <v>43</v>
      </c>
      <c r="AS4" s="108"/>
      <c r="AT4" s="106"/>
      <c r="AU4" s="1"/>
      <c r="AV4" s="1"/>
    </row>
    <row r="5" spans="2:49" ht="51.95" customHeight="1" x14ac:dyDescent="0.4">
      <c r="B5" s="701"/>
      <c r="C5" s="192" t="s">
        <v>40</v>
      </c>
      <c r="D5" s="193" t="s">
        <v>0</v>
      </c>
      <c r="E5" s="194" t="s">
        <v>42</v>
      </c>
      <c r="F5" s="193" t="s">
        <v>35</v>
      </c>
      <c r="G5" s="616" t="s">
        <v>49</v>
      </c>
      <c r="H5" s="715"/>
      <c r="I5" s="715"/>
      <c r="J5" s="716" t="s">
        <v>51</v>
      </c>
      <c r="K5" s="717"/>
      <c r="L5" s="715" t="s">
        <v>53</v>
      </c>
      <c r="M5" s="617"/>
      <c r="P5" s="1"/>
      <c r="AA5" s="73"/>
      <c r="AB5" s="65"/>
      <c r="AC5" s="65"/>
      <c r="AD5" s="65"/>
      <c r="AG5" s="7"/>
      <c r="AH5" s="7"/>
      <c r="AI5" s="7"/>
      <c r="AK5" s="7"/>
      <c r="AO5" s="699"/>
      <c r="AP5" s="699"/>
      <c r="AQ5" s="699"/>
      <c r="AR5" s="699"/>
      <c r="AS5" s="109"/>
      <c r="AT5" s="131"/>
      <c r="AU5" s="1"/>
      <c r="AV5" s="1"/>
    </row>
    <row r="6" spans="2:49" ht="75" customHeight="1" x14ac:dyDescent="0.4">
      <c r="B6" s="97" t="s">
        <v>303</v>
      </c>
      <c r="C6" s="133" t="str">
        <f ca="1">IF(D6=1,"（別紙のとおり）","")</f>
        <v/>
      </c>
      <c r="D6" s="138">
        <f ca="1">IF(看板!AZ2="◎",1,0)</f>
        <v>0</v>
      </c>
      <c r="E6" s="135">
        <f ca="1">IF(D6=1,看板!AO3,0)</f>
        <v>0</v>
      </c>
      <c r="F6" s="134">
        <f ca="1">D6*E6</f>
        <v>0</v>
      </c>
      <c r="G6" s="110" t="s">
        <v>47</v>
      </c>
      <c r="H6" s="157" t="str">
        <f ca="1">IF(AND(はじめに入力してください!O26="○",はじめに入力してください!P26="適切に入力がされました。"),はじめに入力してください!I26,"")</f>
        <v/>
      </c>
      <c r="I6" s="111" t="s">
        <v>48</v>
      </c>
      <c r="J6" s="157" t="str">
        <f ca="1">IF(AND(はじめに入力してください!O26="○",はじめに入力してください!P26="適切に入力がされました。"),はじめに入力してください!K26,"")</f>
        <v/>
      </c>
      <c r="K6" s="111" t="s">
        <v>50</v>
      </c>
      <c r="L6" s="157" t="str">
        <f ca="1">IF(AND(はじめに入力してください!O26="○",はじめに入力してください!P26="適切に入力がされました。"),はじめに入力してください!M26,"")</f>
        <v/>
      </c>
      <c r="M6" s="112" t="s">
        <v>52</v>
      </c>
      <c r="P6" s="1"/>
      <c r="V6" s="2"/>
      <c r="AA6" s="74"/>
      <c r="AB6" s="65"/>
      <c r="AC6" s="70"/>
      <c r="AD6" s="1"/>
      <c r="AE6" s="100" t="str">
        <f t="shared" ref="AE6:AE10" ca="1" si="0">IFERROR(DATE(AF6,J6,L6),"")</f>
        <v/>
      </c>
      <c r="AF6" s="101" t="str">
        <f t="shared" ref="AF6:AF10" ca="1" si="1">IF(H6=4,2022,IF(H6=5,2023,""))</f>
        <v/>
      </c>
      <c r="AG6" s="102" t="str">
        <f ca="1">IF(J6="","",J6)</f>
        <v/>
      </c>
      <c r="AH6" s="103" t="str">
        <f ca="1">IF(L6="","",L6)</f>
        <v/>
      </c>
      <c r="AI6" s="8"/>
      <c r="AJ6" s="1"/>
      <c r="AN6" s="2" t="s">
        <v>45</v>
      </c>
      <c r="AO6" s="132" t="str">
        <f ca="1">IF(COUNTA(H6,J6,L6)=0,"○",
IF(AND(COUNTA(H6,J6,L6)&lt;3,COUNTA(H6,J6,L6)&gt;=1),"×",
IF(COUNTA(H6,J6,L6)=3,"◎")))</f>
        <v>◎</v>
      </c>
      <c r="AP6" s="132" t="str">
        <f ca="1">看板!AZ2</f>
        <v>○</v>
      </c>
      <c r="AQ6" s="132" t="str">
        <f t="shared" ref="AQ6:AQ7" ca="1" si="2">IF(AND(AO6="◎",AP6="×"),"×",
IF(AND(AO6="◎",AP6="○"),"×",
IF(AND(AO6="◎",AP6="◎"),"◎",
IF(AND(AO6="○",AP6="×"),"×",
IF(AND(AO6="○",AP6="○"),"○",
IF(AND(AO6="○",AP6="◎"),"×",
IF(AND(AO6="×",AP6="×"),"×",
IF(AND(AO6="×",AP6="○"),"×",
IF(AND(AO6="×",AP6="◎"),"×")))))))))</f>
        <v>×</v>
      </c>
      <c r="AR6" s="77" t="str">
        <f ca="1">IF(AND(AO6="◎",AP6="×"),
"【要修正】以下を確認してください。"&amp;CHAR(10)&amp;"《看板設置料の明細シートをご確認ください》本シートで納品の日付が入力されていますが、明細シートが入力不十分です。",
IF(AND(AO6="◎",AP6="○"),
"【要修正】以下を確認してください。"&amp;CHAR(10)&amp;"《看板設置料の明細シートをご確認ください》本シートで納品の日付が入力されていますが、明細シートが未入力となっています。",
IF(AND(AO6="◎",AP6="◎"),"必要情報が全て入力されました。",
IF(AND(AO6="○",AP6="×"),
"【要修正】以下を確認してください。"&amp;CHAR(10)&amp;"《看板設置料の明細シートをご確認ください》入力が不十分です。"&amp;CHAR(10)&amp;
"《このシートをご確認ください》納品の日付が未入力となっています。",
IF(AND(AO6="○",AP6="○"),"申請しない場合、入力は不要です。",
IF(AND(AO6="○",AP6="◎"),
"【要修正】以下を確認してください。"&amp;CHAR(10)&amp;"《このシートをご確認ください》看板設置料の明細シートは入力されていますが、納品の日付が未入力です。",
IF(AND(AO6="×",AP6="×"),
"【要修正】以下を確認してください。"&amp;CHAR(10)&amp;"《看板設置料の明細シートをご確認ください》入力が不十分です。"&amp;CHAR(10)&amp;
"《このシートをご確認ください》納品の日付が入力不十分です。",
IF(AND(AO6="×",AP6="○"),
"【要修正】以下を確認してください。"&amp;CHAR(10)&amp;"《看板設置料の明細シートをご確認ください》未入力の状態です。"&amp;CHAR(10)&amp;
"《このシートをご確認ください》納品の日付が入力不十分です。",
IF(AND(AO6="×",AP6="◎"),
"【要修正】以下を確認してください。"&amp;CHAR(10)&amp;"《このシートをご確認ください》納品の日付が未記入となっています。")))))))))</f>
        <v>【要修正】以下を確認してください。
《看板設置料の明細シートをご確認ください》本シートで納品の日付が入力されていますが、明細シートが未入力となっています。</v>
      </c>
      <c r="AS6" s="78" t="str">
        <f ca="1">IF(AND(AO6="◎",AP6="×"),"看板設置料：「明細」シートが入力不十分/",
IF(AND(AO6="◎",AP6="○"),"看板設置料：「明細」シートが未入力/",
IF(AND(AO6="◎",AP6="◎"),"",
IF(AND(AO6="○",AP6="×"),"看板設置料：「明細」シートが入力不十分、納品の日付が未入力/",
IF(AND(AO6="○",AP6="○"),"",
IF(AND(AO6="○",AP6="◎"),"看板設置料：納品の日付が未入力/",
IF(AND(AO6="×",AP6="×"),"看板設置料：「明細」シートの入力不十分、納品の日付が未入力/",
IF(AND(AO6="×",AP6="○"),"看板設置料：「明細」シートが未入力、納品の日付が入力不十分/",
IF(AND(AO6="×",AP6="◎"),"看板設置料：納品の日付が入力不十分/")))))))))</f>
        <v>看板設置料：「明細」シートが未入力/</v>
      </c>
      <c r="AT6" s="79">
        <f ca="1">ROUNDDOWN(看板!AO3,-3)</f>
        <v>0</v>
      </c>
      <c r="AU6" s="5"/>
      <c r="AV6" s="5"/>
    </row>
    <row r="7" spans="2:49" ht="75" customHeight="1" x14ac:dyDescent="0.4">
      <c r="B7" s="126" t="s">
        <v>304</v>
      </c>
      <c r="C7" s="133" t="str">
        <f t="shared" ref="C7:C10" si="3">IF(D7=1,"（別紙のとおり）","")</f>
        <v/>
      </c>
      <c r="D7" s="139">
        <f>IF(HP!AZ4="◎",1,0)</f>
        <v>0</v>
      </c>
      <c r="E7" s="135">
        <f>IF(D7=1,HP!AO3,0)</f>
        <v>0</v>
      </c>
      <c r="F7" s="134">
        <f>D7*E7</f>
        <v>0</v>
      </c>
      <c r="G7" s="110" t="s">
        <v>46</v>
      </c>
      <c r="H7" s="157" t="str">
        <f>IF(AND(はじめに入力してください!O27="○",はじめに入力してください!P27="適切に入力がされました。"),はじめに入力してください!I27,"")</f>
        <v/>
      </c>
      <c r="I7" s="111" t="s">
        <v>48</v>
      </c>
      <c r="J7" s="157" t="str">
        <f>IF(AND(はじめに入力してください!O27="○",はじめに入力してください!P27="適切に入力がされました。"),はじめに入力してください!K27,"")</f>
        <v/>
      </c>
      <c r="K7" s="111" t="s">
        <v>50</v>
      </c>
      <c r="L7" s="157" t="str">
        <f>IF(AND(はじめに入力してください!O27="○",はじめに入力してください!P27="適切に入力がされました。"),はじめに入力してください!M27,"")</f>
        <v/>
      </c>
      <c r="M7" s="112" t="s">
        <v>52</v>
      </c>
      <c r="P7" s="1"/>
      <c r="V7" s="2"/>
      <c r="AA7" s="74"/>
      <c r="AB7" s="65"/>
      <c r="AC7" s="70"/>
      <c r="AD7" s="1"/>
      <c r="AE7" s="100" t="str">
        <f t="shared" si="0"/>
        <v/>
      </c>
      <c r="AF7" s="101" t="str">
        <f t="shared" si="1"/>
        <v/>
      </c>
      <c r="AG7" s="102" t="str">
        <f t="shared" ref="AG7:AG10" si="4">IF(J7="","",J7)</f>
        <v/>
      </c>
      <c r="AH7" s="103" t="str">
        <f t="shared" ref="AH7:AH10" si="5">IF(L7="","",L7)</f>
        <v/>
      </c>
      <c r="AI7" s="71"/>
      <c r="AJ7" s="65"/>
      <c r="AN7" s="2" t="s">
        <v>45</v>
      </c>
      <c r="AO7" s="132" t="str">
        <f t="shared" ref="AO7:AO10" si="6">IF(COUNTA(H7,J7,L7)=0,"○",
IF(AND(COUNTA(H7,J7,L7)&lt;3,COUNTA(H7,J7,L7)&gt;=1),"×",
IF(COUNTA(H7,J7,L7)=3,"◎")))</f>
        <v>◎</v>
      </c>
      <c r="AP7" s="132" t="str">
        <f>HP!AZ4</f>
        <v>○</v>
      </c>
      <c r="AQ7" s="132" t="str">
        <f t="shared" si="2"/>
        <v>×</v>
      </c>
      <c r="AR7" s="77" t="str">
        <f>IF(AND(AO7="◎",AP7="×"),
"【要修正】以下を確認してください。"&amp;CHAR(10)&amp;"《ホームページ改修費の明細シートをご確認ください》本シートで納品の日付が入力されていますが、明細シートが入力不十分です。",
IF(AND(AO7="◎",AP7="○"),
"【要修正】以下を確認してください。"&amp;CHAR(10)&amp;"《ホームページ改修費の明細シートをご確認ください》本シートで納品の日付が入力されていますが、明細シートが未入力です。",
IF(AND(AO7="◎",AP7="◎"),
"必要情報が全て入力されました。",
IF(AND(AO7="○",AP7="×"),
"【要修正】以下を確認してください。"&amp;CHAR(10)&amp;"《ホームページ改修費の明細シートをご確認ください》入力が不十分です。"&amp;CHAR(10)&amp;
"《このシートをご確認ください》納品の日付が未入力です。",
IF(AND(AO7="○",AP7="○"),
"申請しない場合は入力不要です。",
IF(AND(AO7="○",AP7="◎"),
"【要修正】以下を確認してください。"&amp;CHAR(10)&amp;"《このシートをご確認ください》ホームページ改修費の明細シートは入力されていますが、納品の日付が未入力です。",
IF(AND(AO7="×",AP7="×"),
"【要修正】以下を確認してください。"&amp;CHAR(10)&amp;"《ホームページ改修費の明細シートをご確認ください》入力が不十分です。"&amp;CHAR(10)&amp;
"《このシートをご確認ください》納品の日付が入力不十分です。",
IF(AND(AO7="×",AP7="○"),
"【要修正】以下を確認してください。"&amp;CHAR(10)&amp;"《ホームページ改修費の明細シートをご確認ください》未入力の状態です。"&amp;CHAR(10)&amp;
"《このシートをご確認ください》納品の日付が未入力です。",
IF(AND(AO7="×",AP7="◎"),
"【要修正】以下を確認してください。"&amp;CHAR(10)&amp;"《このシートをご確認ください》納品の日付が未入力です。")))))))))</f>
        <v>【要修正】以下を確認してください。
《ホームページ改修費の明細シートをご確認ください》本シートで納品の日付が入力されていますが、明細シートが未入力です。</v>
      </c>
      <c r="AS7" s="78" t="str">
        <f>IF(AND(AO7="◎",AP7="×"),"ホームページ改修費（１行目）：「明細」シートが入力不十分/",
IF(AND(AO7="◎",AP7="○"),"ホームページ改修費（１行目）：「明細」シートが未入力/",
IF(AND(AO7="◎",AP7="◎"),"",
IF(AND(AO7="○",AP7="×"),"ホームページ改修費（１行目）：「明細」シートが入力不十分、納品の日付が未入力/",
IF(AND(AO7="○",AP7="○"),"",
IF(AND(AO7="○",AP7="◎"),"ホームページ改修費（１行目）：納品の日付が未入力/",
IF(AND(AO7="×",AP7="×"),"ホームページ改修費（１行目）：「明細」シートの入力不十分、納品の日付が未入力/",
IF(AND(AO7="×",AP7="○"),"ホームページ改修費（１行目）：「明細」シートが未入力、納品の日付が入力不十分/",
IF(AND(AO7="×",AP7="◎"),"ホームページ改修費（１行目）：納品の日付が入力不十分/")))))))))</f>
        <v>ホームページ改修費（１行目）：「明細」シートが未入力/</v>
      </c>
      <c r="AT7" s="79">
        <f>ROUNDDOWN(HP!AO3,-3)</f>
        <v>0</v>
      </c>
      <c r="AU7" s="6"/>
      <c r="AV7" s="6"/>
    </row>
    <row r="8" spans="2:49" ht="75" customHeight="1" x14ac:dyDescent="0.4">
      <c r="B8" s="126" t="s">
        <v>300</v>
      </c>
      <c r="C8" s="133" t="str">
        <f t="shared" si="3"/>
        <v/>
      </c>
      <c r="D8" s="138">
        <f>IF(医療機器・サーモ・換気設備!AW62="◎",1,0)</f>
        <v>0</v>
      </c>
      <c r="E8" s="135">
        <f>IF(D8=1,医療機器・サーモ・換気設備!AO4,0)</f>
        <v>0</v>
      </c>
      <c r="F8" s="134">
        <f t="shared" ref="F8:F10" si="7">D8*E8</f>
        <v>0</v>
      </c>
      <c r="G8" s="110" t="s">
        <v>46</v>
      </c>
      <c r="H8" s="157" t="str">
        <f>IF(AND(はじめに入力してください!O28="○",はじめに入力してください!P28="適切に入力がされました。"),はじめに入力してください!I28,"")</f>
        <v/>
      </c>
      <c r="I8" s="111" t="s">
        <v>48</v>
      </c>
      <c r="J8" s="157" t="str">
        <f>IF(AND(はじめに入力してください!O28="○",はじめに入力してください!P28="適切に入力がされました。"),はじめに入力してください!K28,"")</f>
        <v/>
      </c>
      <c r="K8" s="111" t="s">
        <v>50</v>
      </c>
      <c r="L8" s="157" t="str">
        <f>IF(AND(はじめに入力してください!O28="○",はじめに入力してください!P28="適切に入力がされました。"),はじめに入力してください!M28,"")</f>
        <v/>
      </c>
      <c r="M8" s="112" t="s">
        <v>52</v>
      </c>
      <c r="P8" s="1"/>
      <c r="V8" s="9"/>
      <c r="AA8" s="74"/>
      <c r="AB8" s="65"/>
      <c r="AC8" s="70"/>
      <c r="AD8" s="1"/>
      <c r="AE8" s="100" t="str">
        <f t="shared" si="0"/>
        <v/>
      </c>
      <c r="AF8" s="101" t="str">
        <f t="shared" si="1"/>
        <v/>
      </c>
      <c r="AG8" s="102" t="str">
        <f t="shared" si="4"/>
        <v/>
      </c>
      <c r="AH8" s="103" t="str">
        <f t="shared" si="5"/>
        <v/>
      </c>
      <c r="AI8" s="71"/>
      <c r="AJ8" s="65"/>
      <c r="AN8" s="2" t="s">
        <v>45</v>
      </c>
      <c r="AO8" s="132" t="str">
        <f t="shared" si="6"/>
        <v>◎</v>
      </c>
      <c r="AP8" s="132" t="e">
        <f>#REF!</f>
        <v>#REF!</v>
      </c>
      <c r="AQ8" s="132" t="e">
        <f>IF(AND(AO8="◎",AP8="×"),"×",
IF(AND(AO8="◎",AP8="○"),"×",
IF(AND(AO8="◎",AP8="◎"),"◎",
IF(AND(AO8="○",AP8="×"),"×",
IF(AND(AO8="○",AP8="○"),"○",
IF(AND(AO8="○",AP8="◎"),"×",
IF(AND(AO8="×",AP8="×"),"×",
IF(AND(AO8="×",AP8="○"),"×",
IF(AND(AO8="×",AP8="◎"),"×")))))))))</f>
        <v>#REF!</v>
      </c>
      <c r="AR8" s="77" t="e">
        <f>IF(AND(AO8="◎",AP8="×"),"【要修正】以下を確認してください。"&amp;CHAR(10)&amp;"《修繕費のシートをご確認ください》本シートで納品の日付が入力されていますが、員数、防護具情報の入力に不足が有ります。",
IF(AND(AO8="◎",AP8="○"),"【要修正】以下を確認してください。"&amp;CHAR(10)&amp;"《修繕費のシートをご確認ください》本シートで納品の日付が入力されていますが、修繕費の申請情報が未入力となっています。",
IF(AND(AO8="◎",AP8="◎"),"必要情報が全て入力されました。",
IF(AND(AO8="○",AP8="×"),"【要修正】以下を確認してください。"&amp;CHAR(10)&amp;"《修繕費のシートをご確認ください》入力に不足が有ります。"&amp;CHAR(10)&amp;"《このシートをご確認ください》事業完了予定の日付の入力が未入力となっています。",
IF(AND(AO8="○",AP8="○"),"申請しない場合は修繕費シートの入力は不要です。",
IF(AND(AO8="○",AP8="◎"),"【要修正】以下を確認してください。"&amp;CHAR(10)&amp;"《このシートをご確認ください》修繕費のシートに入力されていますが、事業完了予定の日付が未記入となっています。",
IF(AND(AO8="×",AP8="×"),"【要修正】以下を確認してください。"&amp;CHAR(10)&amp;"《修繕費のシートをご確認ください》適切に入力されていない箇所があります。"&amp;CHAR(10)&amp;"《このシートをご確認ください》事業完了予定の日付の入力が不十分です。",
IF(AND(AO8="×",AP8="○"),"【要修正】以下を確認してください。"&amp;CHAR(10)&amp;"《修繕費のシートをご確認ください》情報が入力されていません。"&amp;CHAR(10)&amp;"《このシートをご確認ください》事業完了予定の日付が未記入となっています。",
IF(AND(AO8="×",AP8="◎"),"【要修正】以下を確認してください。"&amp;CHAR(10)&amp;"《このシートをご確認ください》事業完了予定の日付が未記入となっています。")))))))))</f>
        <v>#REF!</v>
      </c>
      <c r="AS8" s="78" t="e">
        <f>IF(AND(AO8="◎",AP8="×"),"修繕費：「明細」シートが入力不十分/",
IF(AND(AO8="◎",AP8="○"),"修繕費：「明細」シートが未入力/",
IF(AND(AO8="◎",AP8="◎"),"",
IF(AND(AO8="○",AP8="×"),"修繕費：「明細」シートが入力不十分、納品の日付が未入力/",
IF(AND(AO8="○",AP8="○"),"",
IF(AND(AO8="○",AP8="◎"),"修繕費：納品の日付が未入力/",
IF(AND(AO8="×",AP8="×"),"修繕費：「明細」シートの入力不十分、納品の日付が未入力/",
IF(AND(AO8="×",AP8="○"),"修繕費：「明細」シートが未入力、納品の日付が入力不十分/",
IF(AND(AO8="×",AP8="◎"),"修繕費：納品の日付が入力不十分/")))))))))</f>
        <v>#REF!</v>
      </c>
      <c r="AT8" s="79" t="e">
        <f>ROUNDDOWN(#REF!,-3)</f>
        <v>#REF!</v>
      </c>
      <c r="AU8" s="6"/>
      <c r="AV8" s="6"/>
    </row>
    <row r="9" spans="2:49" ht="75" customHeight="1" x14ac:dyDescent="0.4">
      <c r="B9" s="126" t="s">
        <v>302</v>
      </c>
      <c r="C9" s="133" t="str">
        <f t="shared" si="3"/>
        <v/>
      </c>
      <c r="D9" s="140">
        <f>IF(医療機器・サーモ・換気設備!AW20="◎",1,0)</f>
        <v>0</v>
      </c>
      <c r="E9" s="135">
        <f>IF(D9=1,医療機器・サーモ・換気設備!AO2,0)</f>
        <v>0</v>
      </c>
      <c r="F9" s="134">
        <f t="shared" si="7"/>
        <v>0</v>
      </c>
      <c r="G9" s="110" t="s">
        <v>46</v>
      </c>
      <c r="H9" s="157" t="str">
        <f>IF(AND(はじめに入力してください!O29="○",はじめに入力してください!P29="適切に入力がされました。"),はじめに入力してください!I29,"")</f>
        <v/>
      </c>
      <c r="I9" s="111" t="s">
        <v>48</v>
      </c>
      <c r="J9" s="157" t="str">
        <f>IF(AND(はじめに入力してください!O29="○",はじめに入力してください!P29="適切に入力がされました。"),はじめに入力してください!K29,"")</f>
        <v/>
      </c>
      <c r="K9" s="111" t="s">
        <v>50</v>
      </c>
      <c r="L9" s="157" t="str">
        <f>IF(AND(はじめに入力してください!O29="○",はじめに入力してください!P29="適切に入力がされました。"),はじめに入力してください!M29,"")</f>
        <v/>
      </c>
      <c r="M9" s="112" t="s">
        <v>52</v>
      </c>
      <c r="P9" s="1"/>
      <c r="V9" s="2"/>
      <c r="AA9" s="74"/>
      <c r="AB9" s="65"/>
      <c r="AC9" s="70"/>
      <c r="AD9" s="1"/>
      <c r="AE9" s="100" t="str">
        <f t="shared" si="0"/>
        <v/>
      </c>
      <c r="AF9" s="101" t="str">
        <f t="shared" si="1"/>
        <v/>
      </c>
      <c r="AG9" s="102" t="str">
        <f t="shared" si="4"/>
        <v/>
      </c>
      <c r="AH9" s="103" t="str">
        <f t="shared" si="5"/>
        <v/>
      </c>
      <c r="AI9" s="71"/>
      <c r="AJ9" s="65"/>
      <c r="AN9" s="2" t="s">
        <v>45</v>
      </c>
      <c r="AO9" s="132" t="str">
        <f t="shared" si="6"/>
        <v>◎</v>
      </c>
      <c r="AP9" s="132" t="str">
        <f>医療機器・サーモ・換気設備!BG15</f>
        <v>○</v>
      </c>
      <c r="AQ9" s="132" t="str">
        <f t="shared" ref="AQ9:AQ10" si="8">IF(AND(AO9="◎",AP9="×"),"×",
IF(AND(AO9="◎",AP9="○"),"×",
IF(AND(AO9="◎",AP9="◎"),"◎",
IF(AND(AO9="○",AP9="×"),"×",
IF(AND(AO9="○",AP9="○"),"○",
IF(AND(AO9="○",AP9="◎"),"×",
IF(AND(AO9="×",AP9="×"),"×",
IF(AND(AO9="×",AP9="○"),"×",
IF(AND(AO9="×",AP9="◎"),"×")))))))))</f>
        <v>×</v>
      </c>
      <c r="AR9" s="77" t="str">
        <f>IF(AND(AO9="◎",AP9="×"),
"【要修正】以下を確認してください。"&amp;CHAR(10)&amp;"《医療機器の明細シートをご確認ください》本シートで納品の日付が入力されていますが、明細シートが入力不十分です。",
IF(AND(AO9="◎",AP9="○"),
"【要修正】以下を確認してください。"&amp;CHAR(10)&amp;"《医療機器の明細シートをご確認ください》本シートで納品の日付が入力されていますが、明細シートが未入力です。",
IF(AND(AO9="◎",AP9="◎"),
"必要情報が全て入力されました。",
IF(AND(AO9="○",AP9="×"),
"【要修正】以下を確認してください。"&amp;CHAR(10)&amp;"《医療機器の明細シートをご確認ください》入力が不十分です。"&amp;CHAR(10)&amp;
"《このシートをご確認ください》納品の日付が未入力です。",
IF(AND(AO9="○",AP9="○"),
"申請しない場合は入力不要です。",
IF(AND(AO9="○",AP9="◎"),
"【要修正】以下を確認してください。"&amp;CHAR(10)&amp;"《このシートをご確認ください》医療機器の明細シートは入力されていますが、納品の日付が未入力です。",
IF(AND(AO9="×",AP9="×"),
"【要修正】以下を確認してください。"&amp;CHAR(10)&amp;"《医療機器の明細シートをご確認ください》入力が不十分です。"&amp;CHAR(10)&amp;
"《このシートをご確認ください》納品の日付が入力不十分です。",
IF(AND(AO9="×",AP9="○"),
"【要修正】以下を確認してください。"&amp;CHAR(10)&amp;"《医療機器の明細シートをご確認ください》未入力の状態です。"&amp;CHAR(10)&amp;
"《このシートをご確認ください》納品の日付が未入力です。",
IF(AND(AO9="×",AP9="◎"),
"【要修正】以下を確認してください。"&amp;CHAR(10)&amp;"《このシートをご確認ください》納品の日付が未入力です。")))))))))</f>
        <v>【要修正】以下を確認してください。
《医療機器の明細シートをご確認ください》本シートで納品の日付が入力されていますが、明細シートが未入力です。</v>
      </c>
      <c r="AS9" s="78" t="str">
        <f>IF(AND(AO9="◎",AP9="×"),"医療機器（１行目）：「明細」シートが入力不十分/",
IF(AND(AO9="◎",AP9="○"),"医療機器（１行目）：「明細」シートが未入力/",
IF(AND(AO9="◎",AP9="◎"),"",
IF(AND(AO9="○",AP9="×"),"医療機器（１行目）：「明細」シートが入力不十分、納品の日付が未入力/",
IF(AND(AO9="○",AP9="○"),"",
IF(AND(AO9="○",AP9="◎"),"医療機器（１行目）：納品の日付が未入力/",
IF(AND(AO9="×",AP9="×"),"医療機器（１行目）：「明細」シートの入力不十分、納品の日付が未入力/",
IF(AND(AO9="×",AP9="○"),"医療機器（１行目）：「明細」シートが未入力、納品の日付が入力不十分/",
IF(AND(AO9="×",AP9="◎"),"医療機器（１行目）：納品の日付が入力不十分/")))))))))</f>
        <v>医療機器（１行目）：「明細」シートが未入力/</v>
      </c>
      <c r="AT9" s="79">
        <f>ROUNDDOWN(医療機器・サーモ・換気設備!AQ15,-3)</f>
        <v>0</v>
      </c>
      <c r="AU9" s="6"/>
      <c r="AV9" s="6"/>
    </row>
    <row r="10" spans="2:49" ht="75" customHeight="1" thickBot="1" x14ac:dyDescent="0.45">
      <c r="B10" s="126" t="s">
        <v>301</v>
      </c>
      <c r="C10" s="133" t="str">
        <f t="shared" si="3"/>
        <v/>
      </c>
      <c r="D10" s="140">
        <f>IF(医療機器・サーモ・換気設備!AW36="◎",1,0)</f>
        <v>0</v>
      </c>
      <c r="E10" s="136">
        <f>IF(D10=1,医療機器・サーモ・換気設備!AO3,0)</f>
        <v>0</v>
      </c>
      <c r="F10" s="137">
        <f t="shared" si="7"/>
        <v>0</v>
      </c>
      <c r="G10" s="10" t="s">
        <v>46</v>
      </c>
      <c r="H10" s="158" t="str">
        <f>IF(AND(はじめに入力してください!O30="○",はじめに入力してください!P30="適切に入力がされました。"),はじめに入力してください!I30,"")</f>
        <v/>
      </c>
      <c r="I10" s="11" t="s">
        <v>48</v>
      </c>
      <c r="J10" s="158" t="str">
        <f>IF(AND(はじめに入力してください!O30="○",はじめに入力してください!P30="適切に入力がされました。"),はじめに入力してください!K30,"")</f>
        <v/>
      </c>
      <c r="K10" s="11" t="s">
        <v>50</v>
      </c>
      <c r="L10" s="158" t="str">
        <f>IF(AND(はじめに入力してください!O30="○",はじめに入力してください!P30="適切に入力がされました。"),はじめに入力してください!M30,"")</f>
        <v/>
      </c>
      <c r="M10" s="12" t="s">
        <v>52</v>
      </c>
      <c r="P10" s="1"/>
      <c r="V10" s="2"/>
      <c r="AA10" s="74"/>
      <c r="AB10" s="65"/>
      <c r="AC10" s="70"/>
      <c r="AD10" s="1"/>
      <c r="AE10" s="100" t="str">
        <f t="shared" si="0"/>
        <v/>
      </c>
      <c r="AF10" s="101" t="str">
        <f t="shared" si="1"/>
        <v/>
      </c>
      <c r="AG10" s="102" t="str">
        <f t="shared" si="4"/>
        <v/>
      </c>
      <c r="AH10" s="103" t="str">
        <f t="shared" si="5"/>
        <v/>
      </c>
      <c r="AI10" s="71"/>
      <c r="AJ10" s="65"/>
      <c r="AN10" s="2" t="s">
        <v>45</v>
      </c>
      <c r="AO10" s="132" t="str">
        <f t="shared" si="6"/>
        <v>◎</v>
      </c>
      <c r="AP10" s="132" t="b">
        <f>医療機器・サーモ・換気設備!BG36</f>
        <v>0</v>
      </c>
      <c r="AQ10" s="132" t="b">
        <f t="shared" si="8"/>
        <v>0</v>
      </c>
      <c r="AR10" s="77" t="b">
        <f>IF(AND(AO10="◎",AP10="×"),
"【要修正】以下を確認してください。"&amp;CHAR(10)&amp;"《非接触サーモグラフィーカメラの明細シートをご確認ください》本シートで納品の日付が入力されていますが、明細シートが入力不十分です。",
IF(AND(AO10="◎",AP10="○"),
"【要修正】以下を確認してください。"&amp;CHAR(10)&amp;"《非接触サーモグラフィーカメラの明細シートをご確認ください》本シートで納品の日付が入力されていますが、明細シートが未入力です。",
IF(AND(AO10="◎",AP10="◎"),
"必要情報が全て入力されました。",
IF(AND(AO10="○",AP10="×"),
"【要修正】以下を確認してください。"&amp;CHAR(10)&amp;"《非接触サーモグラフィーカメラの明細シートをご確認ください》入力が不十分です。"&amp;CHAR(10)&amp;
"《このシートをご確認ください》納品の日付が未入力です。",
IF(AND(AO10="○",AP10="○"),
"申請しない場合は入力不要です。",
IF(AND(AO10="○",AP10="◎"),
"【要修正】以下を確認してください。"&amp;CHAR(10)&amp;"《このシートをご確認ください》非接触サーモグラフィーカメラの明細シートは入力されていますが、納品の日付が未入力です。",
IF(AND(AO10="×",AP10="×"),
"【要修正】以下を確認してください。"&amp;CHAR(10)&amp;"《非接触サーモグラフィーカメラの明細シートをご確認ください》入力が不十分です。"&amp;CHAR(10)&amp;
"《このシートをご確認ください》納品の日付が入力不十分です。",
IF(AND(AO10="×",AP10="○"),
"【要修正】以下を確認してください。"&amp;CHAR(10)&amp;"《非接触サーモグラフィーカメラの明細シートをご確認ください》未入力の状態です。"&amp;CHAR(10)&amp;
"《このシートをご確認ください》納品の日付が未入力です。",
IF(AND(AO10="×",AP10="◎"),
"【要修正】以下を確認してください。"&amp;CHAR(10)&amp;"《このシートをご確認ください》納品の日付が未入力です。")))))))))</f>
        <v>0</v>
      </c>
      <c r="AS10" s="78" t="b">
        <f xml:space="preserve">
IF(AND(AO10="◎",AP10="×"),"非接触サーモグラフィーカメラ：「明細」シートが入力不十分。/",
IF(AND(AO10="◎",AP10="○"),"非接触サーモグラフィーカメラ：「明細」シートが未入力。/",
IF(AND(AO10="◎",AP10="◎"),"",
IF(AND(AO10="○",AP10="×"),"非接触サーモグラフィーカメラ：納品の日付が未入力、「明細」シートが入力不十分/",
IF(AND(AO10="○",AP10="○"),"",
IF(AND(AO10="○",AP10="◎"),"非接触サーモグラフィーカメラ：納品の日付が未入力/",
IF(AND(AO10="×",AP10="×"),"非接触サーモグラフィーカメラ：納品の日付及び「明細」シートの入力がいずれも不十分/",
IF(AND(AO10="×",AP10="○"),"非接触サーモグラフィーカメラ：納品の日付が入力不十分、「明細」シートが未入力/",
IF(AND(AO10="×",AP10="◎"),"非接触サーモグラフィーカメラ：納品の日付が入力不十分/")))))))))</f>
        <v>0</v>
      </c>
      <c r="AT10" s="79">
        <f>ROUNDDOWN(医療機器・サーモ・換気設備!AG36,-3)</f>
        <v>0</v>
      </c>
      <c r="AU10" s="6"/>
      <c r="AV10" s="6"/>
    </row>
    <row r="11" spans="2:49" ht="75" customHeight="1" thickTop="1" x14ac:dyDescent="0.4">
      <c r="B11" s="13" t="s">
        <v>41</v>
      </c>
      <c r="C11" s="15"/>
      <c r="D11" s="14"/>
      <c r="E11" s="16"/>
      <c r="F11" s="17">
        <f ca="1">SUM(F6:F10)</f>
        <v>0</v>
      </c>
      <c r="G11" s="702"/>
      <c r="H11" s="703"/>
      <c r="I11" s="703"/>
      <c r="J11" s="703"/>
      <c r="K11" s="703"/>
      <c r="L11" s="703"/>
      <c r="M11" s="704"/>
      <c r="P11" s="1"/>
      <c r="AA11" s="18"/>
      <c r="AD11" s="1"/>
      <c r="AF11" s="65"/>
      <c r="AG11" s="72"/>
      <c r="AH11" s="65"/>
      <c r="AI11" s="65"/>
      <c r="AJ11" s="65"/>
      <c r="AN11" s="2"/>
      <c r="AO11" s="2"/>
      <c r="AR11" s="4"/>
      <c r="AS11" s="75"/>
      <c r="AT11" s="75"/>
      <c r="AU11" s="1"/>
      <c r="AV11" s="1"/>
    </row>
    <row r="12" spans="2:49" ht="30" customHeight="1" x14ac:dyDescent="0.4">
      <c r="AT12" s="1">
        <f ca="1">COUNTIF(AQ6:AQ10,"○")</f>
        <v>0</v>
      </c>
    </row>
  </sheetData>
  <sheetProtection algorithmName="SHA-512" hashValue="DmE0N1xd4z0gD+gOIQfLWF/F8KWtpIdANUo9Tb7DOt0UbMWRwbUzGaZhNpMd7LPAiDnzeH/8vHHQYJZqlcrc1A==" saltValue="cjd7aMHrlNUI8bLnQREwWw==" spinCount="100000" sheet="1" formatCells="0" formatColumns="0" formatRows="0"/>
  <mergeCells count="16">
    <mergeCell ref="J1:P1"/>
    <mergeCell ref="AO4:AO5"/>
    <mergeCell ref="AP4:AP5"/>
    <mergeCell ref="G4:M4"/>
    <mergeCell ref="G5:I5"/>
    <mergeCell ref="J5:K5"/>
    <mergeCell ref="L5:M5"/>
    <mergeCell ref="AU2:AU3"/>
    <mergeCell ref="AQ4:AQ5"/>
    <mergeCell ref="C4:F4"/>
    <mergeCell ref="B4:B5"/>
    <mergeCell ref="G11:M11"/>
    <mergeCell ref="B2:P2"/>
    <mergeCell ref="AR4:AR5"/>
    <mergeCell ref="AR2:AS3"/>
    <mergeCell ref="AT2:AT3"/>
  </mergeCells>
  <phoneticPr fontId="1"/>
  <conditionalFormatting sqref="AR6:AR10">
    <cfRule type="containsText" dxfId="51" priority="3" operator="containsText" text="【要修正】">
      <formula>NOT(ISERROR(SEARCH("【要修正】",AR6)))</formula>
    </cfRule>
    <cfRule type="cellIs" dxfId="50" priority="8" operator="equal">
      <formula>"型番、数量、単価（税込）の一部欄のみ入力されています。申請する場合は黄色セルを全て入力してください。"</formula>
    </cfRule>
  </conditionalFormatting>
  <conditionalFormatting sqref="AR6:AR10">
    <cfRule type="containsText" dxfId="49" priority="4" operator="containsText" text="一部欄">
      <formula>NOT(ISERROR(SEARCH("一部欄",AR6)))</formula>
    </cfRule>
    <cfRule type="cellIs" dxfId="48" priority="5" operator="equal">
      <formula>"型番、数量、単価（税込）の一部欄のみ入力されています。申請する場合は黄色セルを全て入力してください。"</formula>
    </cfRule>
    <cfRule type="cellIs" dxfId="47" priority="6" operator="equal">
      <formula>"型番、数量、単価（税込）の一部欄のみ入力されています。申請する場合は黄色セルを全て入力してください。"</formula>
    </cfRule>
  </conditionalFormatting>
  <conditionalFormatting sqref="AT2 AO6:AQ10">
    <cfRule type="containsText" dxfId="46" priority="2" operator="containsText" text="×">
      <formula>NOT(ISERROR(SEARCH("×",AO2)))</formula>
    </cfRule>
  </conditionalFormatting>
  <conditionalFormatting sqref="AU2:AU3">
    <cfRule type="containsText" dxfId="45" priority="1" operator="containsText" text="要修正">
      <formula>NOT(ISERROR(SEARCH("要修正",AU2)))</formula>
    </cfRule>
  </conditionalFormatting>
  <dataValidations xWindow="1153" yWindow="1032" count="5">
    <dataValidation allowBlank="1" showInputMessage="1" showErrorMessage="1" promptTitle="税込金額を入力" prompt="数量１あたりの税込金額を入力してください。" sqref="E6:E10" xr:uid="{00000000-0002-0000-0600-000000000000}"/>
    <dataValidation allowBlank="1" showInputMessage="1" showErrorMessage="1" promptTitle="数量を入力" prompt="購入（またはリース）の数量を入力してください。" sqref="D6:D8 D10" xr:uid="{00000000-0002-0000-0600-000001000000}"/>
    <dataValidation allowBlank="1" showErrorMessage="1" promptTitle="型番を入力" prompt="購入する備品の型番を入力してください。" sqref="D9" xr:uid="{00000000-0002-0000-0600-000003000000}"/>
    <dataValidation allowBlank="1" showErrorMessage="1" promptTitle="自動で表示されます。" prompt="当該欄は、左の黄色の欄「型番」に入力された名称が自動で表示されます。" sqref="C6:C10" xr:uid="{00000000-0002-0000-0600-000005000000}"/>
    <dataValidation allowBlank="1" showInputMessage="1" showErrorMessage="1" promptTitle="自動で表示されます。" prompt="当該欄は、左の欄「数量」及び「単価」を入力すると自動計算で表示されます。" sqref="F6:F10" xr:uid="{00000000-0002-0000-0600-000006000000}"/>
  </dataValidations>
  <printOptions horizontalCentered="1"/>
  <pageMargins left="0.59055118110236227" right="0.39370078740157483" top="0.59055118110236227" bottom="0.39370078740157483" header="0.31496062992125984" footer="0.31496062992125984"/>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8DB32-9A1C-4AEA-9FA6-BC96054FAECF}">
  <sheetPr>
    <tabColor theme="5" tint="0.39997558519241921"/>
    <pageSetUpPr fitToPage="1"/>
  </sheetPr>
  <dimension ref="A1:AZ101"/>
  <sheetViews>
    <sheetView showGridLines="0" view="pageBreakPreview" topLeftCell="A4" zoomScale="70" zoomScaleNormal="100" zoomScaleSheetLayoutView="70" workbookViewId="0">
      <selection activeCell="R72" sqref="R72:U72"/>
    </sheetView>
  </sheetViews>
  <sheetFormatPr defaultColWidth="9" defaultRowHeight="18" x14ac:dyDescent="0.4"/>
  <cols>
    <col min="1" max="18" width="3.625" style="223" customWidth="1"/>
    <col min="19" max="19" width="10.125" style="223" customWidth="1"/>
    <col min="20" max="48" width="3.625" style="223" customWidth="1"/>
    <col min="49" max="16384" width="9" style="223"/>
  </cols>
  <sheetData>
    <row r="1" spans="1:52" x14ac:dyDescent="0.4">
      <c r="A1" s="225">
        <v>1</v>
      </c>
      <c r="B1" s="225">
        <v>2</v>
      </c>
      <c r="C1" s="225">
        <v>3</v>
      </c>
      <c r="D1" s="225">
        <v>4</v>
      </c>
      <c r="E1" s="225">
        <v>5</v>
      </c>
      <c r="F1" s="225">
        <v>6</v>
      </c>
      <c r="G1" s="225">
        <v>7</v>
      </c>
      <c r="H1" s="225">
        <v>8</v>
      </c>
      <c r="I1" s="225">
        <v>9</v>
      </c>
      <c r="J1" s="225">
        <v>10</v>
      </c>
      <c r="K1" s="225">
        <v>11</v>
      </c>
      <c r="L1" s="225">
        <v>12</v>
      </c>
      <c r="M1" s="225">
        <v>13</v>
      </c>
      <c r="N1" s="225">
        <v>14</v>
      </c>
      <c r="O1" s="225">
        <v>15</v>
      </c>
      <c r="P1" s="225">
        <v>16</v>
      </c>
      <c r="Q1" s="225">
        <v>17</v>
      </c>
      <c r="R1" s="225">
        <v>18</v>
      </c>
      <c r="S1" s="225">
        <v>19</v>
      </c>
      <c r="T1" s="225">
        <v>20</v>
      </c>
      <c r="U1" s="225">
        <v>21</v>
      </c>
      <c r="V1" s="225">
        <v>22</v>
      </c>
      <c r="W1" s="225">
        <v>23</v>
      </c>
      <c r="X1" s="225">
        <v>24</v>
      </c>
      <c r="Y1" s="225">
        <v>25</v>
      </c>
      <c r="Z1" s="225">
        <v>26</v>
      </c>
      <c r="AA1" s="225">
        <v>27</v>
      </c>
      <c r="AB1" s="225">
        <v>28</v>
      </c>
      <c r="AC1" s="225">
        <v>29</v>
      </c>
      <c r="AD1" s="225">
        <v>30</v>
      </c>
      <c r="AE1" s="225">
        <v>31</v>
      </c>
      <c r="AF1" s="225">
        <v>32</v>
      </c>
      <c r="AG1" s="225">
        <v>33</v>
      </c>
      <c r="AH1" s="225">
        <v>34</v>
      </c>
      <c r="AI1" s="225">
        <v>35</v>
      </c>
      <c r="AJ1" s="225">
        <v>36</v>
      </c>
      <c r="AK1" s="225">
        <v>37</v>
      </c>
      <c r="AL1" s="225">
        <v>38</v>
      </c>
      <c r="AM1" s="225">
        <v>39</v>
      </c>
      <c r="AN1" s="225">
        <v>40</v>
      </c>
      <c r="AO1" s="225">
        <v>41</v>
      </c>
      <c r="AP1" s="225">
        <v>42</v>
      </c>
      <c r="AQ1" s="225">
        <v>43</v>
      </c>
      <c r="AR1" s="225">
        <v>44</v>
      </c>
      <c r="AS1" s="225">
        <v>45</v>
      </c>
      <c r="AT1" s="225">
        <v>46</v>
      </c>
      <c r="AU1" s="225">
        <v>47</v>
      </c>
      <c r="AV1" s="225">
        <v>48</v>
      </c>
    </row>
    <row r="2" spans="1:52" ht="6.95" customHeight="1" x14ac:dyDescent="0.4">
      <c r="AX2" s="298" t="s">
        <v>379</v>
      </c>
      <c r="AY2" s="226" t="str">
        <f>Z30</f>
        <v>○</v>
      </c>
      <c r="AZ2" s="718" t="str">
        <f ca="1" xml:space="preserve">
IF(COUNTIF(AY2:AY6,"○")=5,"○",
IF(COUNTIF(AY2:AY6,"×")&gt;=1,"×",
IF(AND(COUNTIF(AY2:AY5,"◎")&gt;=1,AY6="◎",COUNTIF(AY2:AY6,"×")=0),"◎")))</f>
        <v>○</v>
      </c>
    </row>
    <row r="3" spans="1:52" x14ac:dyDescent="0.4">
      <c r="B3" s="531" t="s">
        <v>175</v>
      </c>
      <c r="C3" s="531"/>
      <c r="D3" s="531"/>
      <c r="E3" s="531"/>
      <c r="F3" s="531"/>
      <c r="G3" s="531"/>
      <c r="H3" s="531"/>
      <c r="I3" s="531"/>
      <c r="J3" s="531"/>
      <c r="K3" s="531"/>
      <c r="L3" s="531"/>
      <c r="M3" s="531"/>
      <c r="N3" s="531"/>
      <c r="O3" s="531"/>
      <c r="P3" s="531"/>
      <c r="AK3" s="718" t="s">
        <v>176</v>
      </c>
      <c r="AL3" s="802"/>
      <c r="AM3" s="802"/>
      <c r="AN3" s="802"/>
      <c r="AO3" s="798">
        <f ca="1">IF(AZ2="◎",R86,0)</f>
        <v>0</v>
      </c>
      <c r="AP3" s="799"/>
      <c r="AQ3" s="799"/>
      <c r="AR3" s="799"/>
      <c r="AS3" s="799"/>
      <c r="AT3" s="799"/>
      <c r="AU3" s="799"/>
      <c r="AX3" s="298" t="s">
        <v>380</v>
      </c>
      <c r="AY3" s="297" t="str">
        <f>Z42</f>
        <v>○</v>
      </c>
      <c r="AZ3" s="719"/>
    </row>
    <row r="4" spans="1:52" x14ac:dyDescent="0.4">
      <c r="B4" s="531"/>
      <c r="C4" s="531"/>
      <c r="D4" s="531"/>
      <c r="E4" s="531"/>
      <c r="F4" s="531"/>
      <c r="G4" s="531"/>
      <c r="H4" s="531"/>
      <c r="I4" s="531"/>
      <c r="J4" s="531"/>
      <c r="K4" s="531"/>
      <c r="L4" s="531"/>
      <c r="M4" s="531"/>
      <c r="N4" s="531"/>
      <c r="O4" s="531"/>
      <c r="P4" s="531"/>
      <c r="AK4" s="803"/>
      <c r="AL4" s="803"/>
      <c r="AM4" s="803"/>
      <c r="AN4" s="803"/>
      <c r="AO4" s="800"/>
      <c r="AP4" s="800"/>
      <c r="AQ4" s="800"/>
      <c r="AR4" s="800"/>
      <c r="AS4" s="800"/>
      <c r="AT4" s="800"/>
      <c r="AU4" s="800"/>
      <c r="AX4" s="298" t="s">
        <v>197</v>
      </c>
      <c r="AY4" s="226" t="str">
        <f>Z55</f>
        <v>○</v>
      </c>
      <c r="AZ4" s="719"/>
    </row>
    <row r="5" spans="1:52" ht="9.4" customHeight="1" x14ac:dyDescent="0.4">
      <c r="B5" s="531"/>
      <c r="C5" s="531"/>
      <c r="D5" s="531"/>
      <c r="E5" s="531"/>
      <c r="F5" s="531"/>
      <c r="G5" s="531"/>
      <c r="H5" s="531"/>
      <c r="I5" s="531"/>
      <c r="J5" s="531"/>
      <c r="K5" s="531"/>
      <c r="L5" s="531"/>
      <c r="M5" s="531"/>
      <c r="N5" s="531"/>
      <c r="O5" s="531"/>
      <c r="P5" s="531"/>
      <c r="AK5" s="804"/>
      <c r="AL5" s="804"/>
      <c r="AM5" s="804"/>
      <c r="AN5" s="804"/>
      <c r="AO5" s="801"/>
      <c r="AP5" s="801"/>
      <c r="AQ5" s="801"/>
      <c r="AR5" s="801"/>
      <c r="AS5" s="801"/>
      <c r="AT5" s="801"/>
      <c r="AU5" s="801"/>
      <c r="AX5" s="298" t="s">
        <v>209</v>
      </c>
      <c r="AY5" s="226" t="str">
        <f>Z67</f>
        <v>○</v>
      </c>
      <c r="AZ5" s="719"/>
    </row>
    <row r="6" spans="1:52" ht="9.9499999999999993" customHeight="1" x14ac:dyDescent="0.4">
      <c r="T6" s="739" t="str">
        <f ca="1" xml:space="preserve">
IF(AZ2="◎","全ての入力項目が適切に入力されたため金額が表示されました。",
IF(AZ2="○","申請しない場合は入力不要です。",
IF(AZ2="×","【要修正】入力が不十分、または不要な入力がされている欄があります。（「×」表示の箇所を確認。）")))</f>
        <v>申請しない場合は入力不要です。</v>
      </c>
      <c r="U6" s="740"/>
      <c r="V6" s="740"/>
      <c r="W6" s="740"/>
      <c r="X6" s="740"/>
      <c r="Y6" s="740"/>
      <c r="Z6" s="740"/>
      <c r="AA6" s="740"/>
      <c r="AB6" s="740"/>
      <c r="AC6" s="740"/>
      <c r="AD6" s="740"/>
      <c r="AE6" s="494"/>
      <c r="AF6" s="494"/>
      <c r="AG6" s="494"/>
      <c r="AH6" s="494"/>
      <c r="AI6" s="494"/>
      <c r="AJ6" s="494"/>
      <c r="AK6" s="494"/>
      <c r="AL6" s="494"/>
      <c r="AM6" s="494"/>
      <c r="AN6" s="494"/>
      <c r="AO6" s="494"/>
      <c r="AP6" s="494"/>
      <c r="AQ6" s="494"/>
      <c r="AR6" s="494"/>
      <c r="AS6" s="494"/>
      <c r="AT6" s="494"/>
      <c r="AU6" s="494"/>
      <c r="AX6" s="299" t="s">
        <v>198</v>
      </c>
      <c r="AY6" s="226" t="str">
        <f ca="1">AH85</f>
        <v>○</v>
      </c>
      <c r="AZ6" s="720"/>
    </row>
    <row r="7" spans="1:52" ht="19.5" x14ac:dyDescent="0.4">
      <c r="A7" s="238" t="s">
        <v>177</v>
      </c>
      <c r="B7" s="238"/>
      <c r="C7" s="238"/>
      <c r="D7" s="238"/>
      <c r="E7" s="238"/>
      <c r="F7" s="238"/>
      <c r="G7" s="238"/>
      <c r="H7" s="238"/>
      <c r="I7" s="238"/>
      <c r="J7" s="238"/>
      <c r="K7" s="238"/>
      <c r="L7" s="238"/>
      <c r="M7" s="238"/>
      <c r="N7" s="238"/>
      <c r="O7" s="238"/>
      <c r="P7" s="238"/>
      <c r="Q7" s="238"/>
      <c r="R7" s="238"/>
      <c r="S7" s="238"/>
      <c r="T7" s="741"/>
      <c r="U7" s="741"/>
      <c r="V7" s="741"/>
      <c r="W7" s="741"/>
      <c r="X7" s="741"/>
      <c r="Y7" s="741"/>
      <c r="Z7" s="741"/>
      <c r="AA7" s="741"/>
      <c r="AB7" s="741"/>
      <c r="AC7" s="741"/>
      <c r="AD7" s="741"/>
      <c r="AE7" s="494"/>
      <c r="AF7" s="494"/>
      <c r="AG7" s="494"/>
      <c r="AH7" s="494"/>
      <c r="AI7" s="494"/>
      <c r="AJ7" s="494"/>
      <c r="AK7" s="494"/>
      <c r="AL7" s="494"/>
      <c r="AM7" s="494"/>
      <c r="AN7" s="494"/>
      <c r="AO7" s="494"/>
      <c r="AP7" s="494"/>
      <c r="AQ7" s="494"/>
      <c r="AR7" s="494"/>
      <c r="AS7" s="494"/>
      <c r="AT7" s="494"/>
      <c r="AU7" s="494"/>
    </row>
    <row r="8" spans="1:52" ht="20.25" thickBot="1" x14ac:dyDescent="0.45">
      <c r="A8" s="238" t="s">
        <v>178</v>
      </c>
      <c r="B8" s="238"/>
      <c r="C8" s="238"/>
      <c r="D8" s="238"/>
      <c r="E8" s="238"/>
      <c r="F8" s="238"/>
      <c r="G8" s="238"/>
      <c r="H8" s="238"/>
      <c r="I8" s="238"/>
      <c r="J8" s="238"/>
      <c r="K8" s="238"/>
      <c r="L8" s="238"/>
      <c r="M8" s="238"/>
      <c r="N8" s="238"/>
      <c r="O8" s="238"/>
      <c r="P8" s="238"/>
      <c r="Q8" s="238"/>
      <c r="R8" s="238"/>
      <c r="S8" s="238"/>
      <c r="T8" s="796" t="s">
        <v>385</v>
      </c>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797"/>
    </row>
    <row r="9" spans="1:52" ht="19.5" customHeight="1" thickTop="1" x14ac:dyDescent="0.4">
      <c r="B9" s="241"/>
      <c r="C9" s="241"/>
      <c r="D9" s="241"/>
      <c r="E9" s="241"/>
      <c r="F9" s="241"/>
      <c r="G9" s="241"/>
      <c r="H9" s="241"/>
      <c r="I9" s="241"/>
      <c r="J9" s="241"/>
      <c r="K9" s="241"/>
      <c r="L9" s="241"/>
      <c r="M9" s="241"/>
      <c r="N9" s="241"/>
      <c r="O9" s="241"/>
      <c r="P9" s="241"/>
      <c r="Q9" s="241"/>
      <c r="T9" s="721" t="s">
        <v>382</v>
      </c>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3"/>
    </row>
    <row r="10" spans="1:52" ht="19.5" x14ac:dyDescent="0.4">
      <c r="R10" s="242"/>
      <c r="S10" s="242"/>
      <c r="T10" s="724"/>
      <c r="U10" s="725"/>
      <c r="V10" s="725"/>
      <c r="W10" s="725"/>
      <c r="X10" s="725"/>
      <c r="Y10" s="725"/>
      <c r="Z10" s="725"/>
      <c r="AA10" s="725"/>
      <c r="AB10" s="725"/>
      <c r="AC10" s="725"/>
      <c r="AD10" s="725"/>
      <c r="AE10" s="725"/>
      <c r="AF10" s="725"/>
      <c r="AG10" s="725"/>
      <c r="AH10" s="725"/>
      <c r="AI10" s="725"/>
      <c r="AJ10" s="725"/>
      <c r="AK10" s="725"/>
      <c r="AL10" s="725"/>
      <c r="AM10" s="725"/>
      <c r="AN10" s="725"/>
      <c r="AO10" s="725"/>
      <c r="AP10" s="725"/>
      <c r="AQ10" s="725"/>
      <c r="AR10" s="725"/>
      <c r="AS10" s="725"/>
      <c r="AT10" s="725"/>
      <c r="AU10" s="726"/>
    </row>
    <row r="11" spans="1:52" ht="19.5" x14ac:dyDescent="0.4">
      <c r="R11" s="242"/>
      <c r="S11" s="242"/>
      <c r="T11" s="724"/>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6"/>
    </row>
    <row r="12" spans="1:52" ht="19.5" x14ac:dyDescent="0.4">
      <c r="R12" s="242"/>
      <c r="S12" s="242"/>
      <c r="T12" s="724"/>
      <c r="U12" s="725"/>
      <c r="V12" s="725"/>
      <c r="W12" s="725"/>
      <c r="X12" s="725"/>
      <c r="Y12" s="725"/>
      <c r="Z12" s="725"/>
      <c r="AA12" s="725"/>
      <c r="AB12" s="725"/>
      <c r="AC12" s="725"/>
      <c r="AD12" s="725"/>
      <c r="AE12" s="725"/>
      <c r="AF12" s="725"/>
      <c r="AG12" s="725"/>
      <c r="AH12" s="725"/>
      <c r="AI12" s="725"/>
      <c r="AJ12" s="725"/>
      <c r="AK12" s="725"/>
      <c r="AL12" s="725"/>
      <c r="AM12" s="725"/>
      <c r="AN12" s="725"/>
      <c r="AO12" s="725"/>
      <c r="AP12" s="725"/>
      <c r="AQ12" s="725"/>
      <c r="AR12" s="725"/>
      <c r="AS12" s="725"/>
      <c r="AT12" s="725"/>
      <c r="AU12" s="726"/>
      <c r="AV12" s="242"/>
    </row>
    <row r="13" spans="1:52" ht="19.5" x14ac:dyDescent="0.4">
      <c r="R13" s="242"/>
      <c r="S13" s="242"/>
      <c r="T13" s="724"/>
      <c r="U13" s="725"/>
      <c r="V13" s="725"/>
      <c r="W13" s="725"/>
      <c r="X13" s="725"/>
      <c r="Y13" s="725"/>
      <c r="Z13" s="725"/>
      <c r="AA13" s="725"/>
      <c r="AB13" s="725"/>
      <c r="AC13" s="725"/>
      <c r="AD13" s="725"/>
      <c r="AE13" s="725"/>
      <c r="AF13" s="725"/>
      <c r="AG13" s="725"/>
      <c r="AH13" s="725"/>
      <c r="AI13" s="725"/>
      <c r="AJ13" s="725"/>
      <c r="AK13" s="725"/>
      <c r="AL13" s="725"/>
      <c r="AM13" s="725"/>
      <c r="AN13" s="725"/>
      <c r="AO13" s="725"/>
      <c r="AP13" s="725"/>
      <c r="AQ13" s="725"/>
      <c r="AR13" s="725"/>
      <c r="AS13" s="725"/>
      <c r="AT13" s="725"/>
      <c r="AU13" s="726"/>
      <c r="AV13" s="242"/>
    </row>
    <row r="14" spans="1:52" ht="19.5" x14ac:dyDescent="0.4">
      <c r="R14" s="242"/>
      <c r="S14" s="242"/>
      <c r="T14" s="724"/>
      <c r="U14" s="725"/>
      <c r="V14" s="725"/>
      <c r="W14" s="725"/>
      <c r="X14" s="725"/>
      <c r="Y14" s="725"/>
      <c r="Z14" s="725"/>
      <c r="AA14" s="725"/>
      <c r="AB14" s="725"/>
      <c r="AC14" s="725"/>
      <c r="AD14" s="725"/>
      <c r="AE14" s="725"/>
      <c r="AF14" s="725"/>
      <c r="AG14" s="725"/>
      <c r="AH14" s="725"/>
      <c r="AI14" s="725"/>
      <c r="AJ14" s="725"/>
      <c r="AK14" s="725"/>
      <c r="AL14" s="725"/>
      <c r="AM14" s="725"/>
      <c r="AN14" s="725"/>
      <c r="AO14" s="725"/>
      <c r="AP14" s="725"/>
      <c r="AQ14" s="725"/>
      <c r="AR14" s="725"/>
      <c r="AS14" s="725"/>
      <c r="AT14" s="725"/>
      <c r="AU14" s="726"/>
      <c r="AV14" s="242"/>
    </row>
    <row r="15" spans="1:52" ht="19.5" x14ac:dyDescent="0.4">
      <c r="R15" s="242"/>
      <c r="S15" s="242"/>
      <c r="T15" s="724"/>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6"/>
      <c r="AV15" s="242"/>
    </row>
    <row r="16" spans="1:52" ht="19.5" x14ac:dyDescent="0.4">
      <c r="R16" s="242"/>
      <c r="S16" s="242"/>
      <c r="T16" s="724"/>
      <c r="U16" s="725"/>
      <c r="V16" s="725"/>
      <c r="W16" s="725"/>
      <c r="X16" s="725"/>
      <c r="Y16" s="725"/>
      <c r="Z16" s="725"/>
      <c r="AA16" s="725"/>
      <c r="AB16" s="725"/>
      <c r="AC16" s="725"/>
      <c r="AD16" s="725"/>
      <c r="AE16" s="725"/>
      <c r="AF16" s="725"/>
      <c r="AG16" s="725"/>
      <c r="AH16" s="725"/>
      <c r="AI16" s="725"/>
      <c r="AJ16" s="725"/>
      <c r="AK16" s="725"/>
      <c r="AL16" s="725"/>
      <c r="AM16" s="725"/>
      <c r="AN16" s="725"/>
      <c r="AO16" s="725"/>
      <c r="AP16" s="725"/>
      <c r="AQ16" s="725"/>
      <c r="AR16" s="725"/>
      <c r="AS16" s="725"/>
      <c r="AT16" s="725"/>
      <c r="AU16" s="726"/>
      <c r="AV16" s="242"/>
    </row>
    <row r="17" spans="1:51" ht="19.5" x14ac:dyDescent="0.4">
      <c r="R17" s="242"/>
      <c r="S17" s="242"/>
      <c r="T17" s="724"/>
      <c r="U17" s="725"/>
      <c r="V17" s="725"/>
      <c r="W17" s="725"/>
      <c r="X17" s="725"/>
      <c r="Y17" s="725"/>
      <c r="Z17" s="725"/>
      <c r="AA17" s="725"/>
      <c r="AB17" s="725"/>
      <c r="AC17" s="725"/>
      <c r="AD17" s="725"/>
      <c r="AE17" s="725"/>
      <c r="AF17" s="725"/>
      <c r="AG17" s="725"/>
      <c r="AH17" s="725"/>
      <c r="AI17" s="725"/>
      <c r="AJ17" s="725"/>
      <c r="AK17" s="725"/>
      <c r="AL17" s="725"/>
      <c r="AM17" s="725"/>
      <c r="AN17" s="725"/>
      <c r="AO17" s="725"/>
      <c r="AP17" s="725"/>
      <c r="AQ17" s="725"/>
      <c r="AR17" s="725"/>
      <c r="AS17" s="725"/>
      <c r="AT17" s="725"/>
      <c r="AU17" s="726"/>
      <c r="AV17" s="242"/>
    </row>
    <row r="18" spans="1:51" ht="19.5" x14ac:dyDescent="0.4">
      <c r="R18" s="242"/>
      <c r="S18" s="242"/>
      <c r="T18" s="724"/>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6"/>
      <c r="AV18" s="242"/>
    </row>
    <row r="19" spans="1:51" ht="19.5" x14ac:dyDescent="0.4">
      <c r="R19" s="242"/>
      <c r="S19" s="242"/>
      <c r="T19" s="724"/>
      <c r="U19" s="725"/>
      <c r="V19" s="725"/>
      <c r="W19" s="725"/>
      <c r="X19" s="725"/>
      <c r="Y19" s="725"/>
      <c r="Z19" s="725"/>
      <c r="AA19" s="725"/>
      <c r="AB19" s="725"/>
      <c r="AC19" s="725"/>
      <c r="AD19" s="725"/>
      <c r="AE19" s="725"/>
      <c r="AF19" s="725"/>
      <c r="AG19" s="725"/>
      <c r="AH19" s="725"/>
      <c r="AI19" s="725"/>
      <c r="AJ19" s="725"/>
      <c r="AK19" s="725"/>
      <c r="AL19" s="725"/>
      <c r="AM19" s="725"/>
      <c r="AN19" s="725"/>
      <c r="AO19" s="725"/>
      <c r="AP19" s="725"/>
      <c r="AQ19" s="725"/>
      <c r="AR19" s="725"/>
      <c r="AS19" s="725"/>
      <c r="AT19" s="725"/>
      <c r="AU19" s="726"/>
      <c r="AV19" s="242"/>
    </row>
    <row r="20" spans="1:51" ht="19.5" x14ac:dyDescent="0.4">
      <c r="R20" s="243"/>
      <c r="S20" s="243"/>
      <c r="T20" s="724"/>
      <c r="U20" s="725"/>
      <c r="V20" s="725"/>
      <c r="W20" s="725"/>
      <c r="X20" s="725"/>
      <c r="Y20" s="725"/>
      <c r="Z20" s="725"/>
      <c r="AA20" s="725"/>
      <c r="AB20" s="725"/>
      <c r="AC20" s="725"/>
      <c r="AD20" s="725"/>
      <c r="AE20" s="725"/>
      <c r="AF20" s="725"/>
      <c r="AG20" s="725"/>
      <c r="AH20" s="725"/>
      <c r="AI20" s="725"/>
      <c r="AJ20" s="725"/>
      <c r="AK20" s="725"/>
      <c r="AL20" s="725"/>
      <c r="AM20" s="725"/>
      <c r="AN20" s="725"/>
      <c r="AO20" s="725"/>
      <c r="AP20" s="725"/>
      <c r="AQ20" s="725"/>
      <c r="AR20" s="725"/>
      <c r="AS20" s="725"/>
      <c r="AT20" s="725"/>
      <c r="AU20" s="726"/>
      <c r="AV20" s="243"/>
    </row>
    <row r="21" spans="1:51" ht="19.5" x14ac:dyDescent="0.4">
      <c r="R21" s="243"/>
      <c r="S21" s="243"/>
      <c r="T21" s="724"/>
      <c r="U21" s="725"/>
      <c r="V21" s="725"/>
      <c r="W21" s="725"/>
      <c r="X21" s="725"/>
      <c r="Y21" s="725"/>
      <c r="Z21" s="725"/>
      <c r="AA21" s="725"/>
      <c r="AB21" s="725"/>
      <c r="AC21" s="725"/>
      <c r="AD21" s="725"/>
      <c r="AE21" s="725"/>
      <c r="AF21" s="725"/>
      <c r="AG21" s="725"/>
      <c r="AH21" s="725"/>
      <c r="AI21" s="725"/>
      <c r="AJ21" s="725"/>
      <c r="AK21" s="725"/>
      <c r="AL21" s="725"/>
      <c r="AM21" s="725"/>
      <c r="AN21" s="725"/>
      <c r="AO21" s="725"/>
      <c r="AP21" s="725"/>
      <c r="AQ21" s="725"/>
      <c r="AR21" s="725"/>
      <c r="AS21" s="725"/>
      <c r="AT21" s="725"/>
      <c r="AU21" s="726"/>
      <c r="AV21" s="243"/>
    </row>
    <row r="22" spans="1:51" ht="19.5" x14ac:dyDescent="0.4">
      <c r="R22" s="243"/>
      <c r="S22" s="243"/>
      <c r="T22" s="724"/>
      <c r="U22" s="725"/>
      <c r="V22" s="725"/>
      <c r="W22" s="725"/>
      <c r="X22" s="725"/>
      <c r="Y22" s="725"/>
      <c r="Z22" s="725"/>
      <c r="AA22" s="725"/>
      <c r="AB22" s="725"/>
      <c r="AC22" s="725"/>
      <c r="AD22" s="725"/>
      <c r="AE22" s="725"/>
      <c r="AF22" s="725"/>
      <c r="AG22" s="725"/>
      <c r="AH22" s="725"/>
      <c r="AI22" s="725"/>
      <c r="AJ22" s="725"/>
      <c r="AK22" s="725"/>
      <c r="AL22" s="725"/>
      <c r="AM22" s="725"/>
      <c r="AN22" s="725"/>
      <c r="AO22" s="725"/>
      <c r="AP22" s="725"/>
      <c r="AQ22" s="725"/>
      <c r="AR22" s="725"/>
      <c r="AS22" s="725"/>
      <c r="AT22" s="725"/>
      <c r="AU22" s="726"/>
      <c r="AV22" s="243"/>
    </row>
    <row r="23" spans="1:51" ht="37.35" customHeight="1" x14ac:dyDescent="0.4">
      <c r="T23" s="724"/>
      <c r="U23" s="725"/>
      <c r="V23" s="725"/>
      <c r="W23" s="725"/>
      <c r="X23" s="725"/>
      <c r="Y23" s="725"/>
      <c r="Z23" s="725"/>
      <c r="AA23" s="725"/>
      <c r="AB23" s="725"/>
      <c r="AC23" s="725"/>
      <c r="AD23" s="725"/>
      <c r="AE23" s="725"/>
      <c r="AF23" s="725"/>
      <c r="AG23" s="725"/>
      <c r="AH23" s="725"/>
      <c r="AI23" s="725"/>
      <c r="AJ23" s="725"/>
      <c r="AK23" s="725"/>
      <c r="AL23" s="725"/>
      <c r="AM23" s="725"/>
      <c r="AN23" s="725"/>
      <c r="AO23" s="725"/>
      <c r="AP23" s="725"/>
      <c r="AQ23" s="725"/>
      <c r="AR23" s="725"/>
      <c r="AS23" s="725"/>
      <c r="AT23" s="725"/>
      <c r="AU23" s="726"/>
    </row>
    <row r="24" spans="1:51" ht="43.7" customHeight="1" thickBot="1" x14ac:dyDescent="0.45">
      <c r="T24" s="727"/>
      <c r="U24" s="728"/>
      <c r="V24" s="728"/>
      <c r="W24" s="728"/>
      <c r="X24" s="728"/>
      <c r="Y24" s="728"/>
      <c r="Z24" s="728"/>
      <c r="AA24" s="728"/>
      <c r="AB24" s="728"/>
      <c r="AC24" s="728"/>
      <c r="AD24" s="728"/>
      <c r="AE24" s="728"/>
      <c r="AF24" s="728"/>
      <c r="AG24" s="728"/>
      <c r="AH24" s="728"/>
      <c r="AI24" s="728"/>
      <c r="AJ24" s="728"/>
      <c r="AK24" s="728"/>
      <c r="AL24" s="728"/>
      <c r="AM24" s="728"/>
      <c r="AN24" s="728"/>
      <c r="AO24" s="728"/>
      <c r="AP24" s="728"/>
      <c r="AQ24" s="728"/>
      <c r="AR24" s="728"/>
      <c r="AS24" s="728"/>
      <c r="AT24" s="728"/>
      <c r="AU24" s="729"/>
    </row>
    <row r="25" spans="1:51" ht="20.25" thickTop="1" x14ac:dyDescent="0.4">
      <c r="A25" s="498" t="s">
        <v>200</v>
      </c>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38"/>
      <c r="AQ25" s="738"/>
      <c r="AR25" s="738"/>
      <c r="AS25" s="738"/>
      <c r="AT25" s="738"/>
      <c r="AU25" s="738"/>
      <c r="AV25" s="238"/>
    </row>
    <row r="26" spans="1:51" ht="19.5" x14ac:dyDescent="0.4">
      <c r="A26" s="238"/>
      <c r="B26" s="498" t="str">
        <f>"ア．道路看板の場合　【総合判定】"&amp;Z30&amp;"："&amp;VLOOKUP(AX29,AX29:AY29,2,FALSE)</f>
        <v>ア．道路看板の場合　【総合判定】○：申請しない場合は入力不要です。</v>
      </c>
      <c r="C26" s="738"/>
      <c r="D26" s="738"/>
      <c r="E26" s="738"/>
      <c r="F26" s="738"/>
      <c r="G26" s="738"/>
      <c r="H26" s="738"/>
      <c r="I26" s="738"/>
      <c r="J26" s="738"/>
      <c r="K26" s="738"/>
      <c r="L26" s="738"/>
      <c r="M26" s="738"/>
      <c r="N26" s="738"/>
      <c r="O26" s="738"/>
      <c r="P26" s="738"/>
      <c r="Q26" s="738"/>
      <c r="R26" s="738"/>
      <c r="S26" s="738"/>
      <c r="T26" s="738"/>
      <c r="U26" s="738"/>
      <c r="V26" s="738"/>
      <c r="W26" s="738"/>
      <c r="X26" s="738"/>
      <c r="Y26" s="738"/>
      <c r="Z26" s="738"/>
      <c r="AA26" s="738"/>
      <c r="AB26" s="738"/>
      <c r="AC26" s="738"/>
      <c r="AD26" s="738"/>
      <c r="AE26" s="738"/>
      <c r="AF26" s="738"/>
      <c r="AG26" s="738"/>
      <c r="AH26" s="738"/>
      <c r="AI26" s="738"/>
      <c r="AJ26" s="738"/>
      <c r="AK26" s="738"/>
      <c r="AL26" s="738"/>
      <c r="AM26" s="738"/>
      <c r="AN26" s="738"/>
      <c r="AO26" s="738"/>
      <c r="AP26" s="738"/>
      <c r="AQ26" s="738"/>
      <c r="AR26" s="738"/>
      <c r="AS26" s="738"/>
      <c r="AT26" s="738"/>
      <c r="AU26" s="738"/>
      <c r="AV26" s="238"/>
    </row>
    <row r="27" spans="1:51" ht="9.9499999999999993" hidden="1" customHeight="1" x14ac:dyDescent="0.4">
      <c r="A27" s="238"/>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row>
    <row r="28" spans="1:51" ht="19.5" x14ac:dyDescent="0.4">
      <c r="B28" s="223" t="s">
        <v>256</v>
      </c>
      <c r="R28" s="243"/>
      <c r="S28" s="243"/>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43"/>
      <c r="AW28" s="223" t="s">
        <v>260</v>
      </c>
    </row>
    <row r="29" spans="1:51" ht="19.5" x14ac:dyDescent="0.4">
      <c r="A29" s="238"/>
      <c r="B29" s="500" t="s">
        <v>189</v>
      </c>
      <c r="C29" s="527"/>
      <c r="D29" s="527"/>
      <c r="E29" s="527"/>
      <c r="F29" s="500" t="s">
        <v>43</v>
      </c>
      <c r="G29" s="527"/>
      <c r="H29" s="500" t="s">
        <v>70</v>
      </c>
      <c r="I29" s="527"/>
      <c r="J29" s="527"/>
      <c r="K29" s="527"/>
      <c r="L29" s="527"/>
      <c r="M29" s="527"/>
      <c r="N29" s="527"/>
      <c r="O29" s="527"/>
      <c r="P29" s="527"/>
      <c r="Q29" s="527"/>
      <c r="R29" s="238"/>
      <c r="S29" s="238"/>
      <c r="T29" s="238"/>
      <c r="U29" s="238"/>
      <c r="V29" s="238"/>
      <c r="W29" s="238"/>
      <c r="X29" s="238"/>
      <c r="Y29" s="238"/>
      <c r="Z29" s="500" t="s">
        <v>190</v>
      </c>
      <c r="AA29" s="527"/>
      <c r="AB29" s="527"/>
      <c r="AC29" s="527"/>
      <c r="AD29" s="500" t="s">
        <v>70</v>
      </c>
      <c r="AE29" s="527"/>
      <c r="AF29" s="527"/>
      <c r="AG29" s="527"/>
      <c r="AH29" s="527"/>
      <c r="AI29" s="527"/>
      <c r="AJ29" s="527"/>
      <c r="AK29" s="527"/>
      <c r="AL29" s="527"/>
      <c r="AM29" s="527"/>
      <c r="AN29" s="527"/>
      <c r="AO29" s="527"/>
      <c r="AP29" s="527"/>
      <c r="AQ29" s="527"/>
      <c r="AR29" s="527"/>
      <c r="AS29" s="527"/>
      <c r="AT29" s="527"/>
      <c r="AU29" s="527"/>
      <c r="AV29" s="238"/>
      <c r="AW29" s="223" t="s">
        <v>258</v>
      </c>
      <c r="AX29" s="225" t="str">
        <f xml:space="preserve">
IF(COUNTIF(AX30:AX31,"○")=2,"○",
IF(COUNTIF(AX30:AX31,"×")&gt;=1,"×",
IF(AND(COUNTIF(AX30:AX31,"◎")&gt;=1,COUNTIF(AX30:AX31,"×")=0),"◎",
)))</f>
        <v>○</v>
      </c>
      <c r="AY29" s="223" t="str">
        <f xml:space="preserve">
IF(AX29="×","【要修正】入力が不十分な箇所があります。",
IF(AX29="○","申請しない場合は入力不要です。",
IF(AX29="◎","適切に入力がされました。")))</f>
        <v>申請しない場合は入力不要です。</v>
      </c>
    </row>
    <row r="30" spans="1:51" ht="19.5" x14ac:dyDescent="0.4">
      <c r="A30" s="238"/>
      <c r="B30" s="767"/>
      <c r="C30" s="768"/>
      <c r="D30" s="768"/>
      <c r="E30" s="768"/>
      <c r="F30" s="500" t="str">
        <f>IF(COUNTA(B30)=1,"◎","○")</f>
        <v>○</v>
      </c>
      <c r="G30" s="527"/>
      <c r="H30" s="761" t="str">
        <f>IF(COUNTA(B30)=1,"適切に入力がされました。","申請しない場合は入力不要です。")</f>
        <v>申請しない場合は入力不要です。</v>
      </c>
      <c r="I30" s="758"/>
      <c r="J30" s="758"/>
      <c r="K30" s="758"/>
      <c r="L30" s="758"/>
      <c r="M30" s="758"/>
      <c r="N30" s="758"/>
      <c r="O30" s="758"/>
      <c r="P30" s="758"/>
      <c r="Q30" s="758"/>
      <c r="R30" s="238"/>
      <c r="S30" s="238"/>
      <c r="T30" s="238"/>
      <c r="U30" s="238"/>
      <c r="V30" s="238"/>
      <c r="W30" s="238"/>
      <c r="X30" s="238"/>
      <c r="Y30" s="238"/>
      <c r="Z30" s="500" t="str">
        <f xml:space="preserve">
IF(SUM(COUNTIF(F30,"○"),COUNTIF(AD33:AE38,"○"))=7,"○",
IF(SUM(COUNTIF(F30,"×"),COUNTIF(AD33:AE38,"×"))&gt;=1,"×",
IF(SUM(COUNTIF(F30,"◎"),COUNTIF(AD33:AE38,"◎"))&lt;&gt;7,"×",
IF(SUM(COUNTIF(F30,"◎"),COUNTIF(AD33:AE38,"◎"))=7,"◎"))))</f>
        <v>○</v>
      </c>
      <c r="AA30" s="527"/>
      <c r="AB30" s="527"/>
      <c r="AC30" s="527"/>
      <c r="AD30" s="769" t="str">
        <f xml:space="preserve">
IF(SUM(COUNTIF(F30,"○"),COUNTIF(AD33:AE38,"○"))=7,"申請しない場合は入力不要です。",
IF(SUM(COUNTIF(F30,"×"),COUNTIF(AD33:AE38,"×"))&gt;=1,"【要修正】入力不十分な箇所があります。（「×」表示の箇所を確認。）",
IF(SUM(COUNTIF(F30,"◎"),COUNTIF(AD33:AE38,"◎"))&lt;&gt;7,"【要修正】入力不十分な箇所があります。（全て「◎」であるか確認。）",
IF(SUM(COUNTIF(F30,"◎"),COUNTIF(AD33:AE38,"◎"))=7,"適切に入力がされました。"))))</f>
        <v>申請しない場合は入力不要です。</v>
      </c>
      <c r="AE30" s="770"/>
      <c r="AF30" s="770"/>
      <c r="AG30" s="770"/>
      <c r="AH30" s="770"/>
      <c r="AI30" s="770"/>
      <c r="AJ30" s="770"/>
      <c r="AK30" s="770"/>
      <c r="AL30" s="770"/>
      <c r="AM30" s="770"/>
      <c r="AN30" s="770"/>
      <c r="AO30" s="770"/>
      <c r="AP30" s="770"/>
      <c r="AQ30" s="770"/>
      <c r="AR30" s="770"/>
      <c r="AS30" s="770"/>
      <c r="AT30" s="770"/>
      <c r="AU30" s="770"/>
      <c r="AV30" s="238"/>
      <c r="AW30" s="223" t="s">
        <v>259</v>
      </c>
      <c r="AX30" s="225" t="str">
        <f>Z30</f>
        <v>○</v>
      </c>
    </row>
    <row r="31" spans="1:51" ht="9.9499999999999993" customHeight="1" x14ac:dyDescent="0.4">
      <c r="A31" s="238"/>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23" t="s">
        <v>372</v>
      </c>
      <c r="AX31" s="225" t="str">
        <f>Z42</f>
        <v>○</v>
      </c>
    </row>
    <row r="32" spans="1:51" ht="19.5" x14ac:dyDescent="0.4">
      <c r="A32" s="238"/>
      <c r="B32" s="495" t="s">
        <v>184</v>
      </c>
      <c r="C32" s="756"/>
      <c r="D32" s="756"/>
      <c r="E32" s="756"/>
      <c r="F32" s="756"/>
      <c r="G32" s="756"/>
      <c r="H32" s="756"/>
      <c r="I32" s="757"/>
      <c r="J32" s="500" t="s">
        <v>363</v>
      </c>
      <c r="K32" s="527"/>
      <c r="L32" s="527"/>
      <c r="M32" s="758"/>
      <c r="N32" s="500" t="s">
        <v>265</v>
      </c>
      <c r="O32" s="527"/>
      <c r="P32" s="527"/>
      <c r="Q32" s="758"/>
      <c r="R32" s="500" t="s">
        <v>180</v>
      </c>
      <c r="S32" s="527"/>
      <c r="T32" s="527"/>
      <c r="U32" s="758"/>
      <c r="V32" s="495" t="s">
        <v>181</v>
      </c>
      <c r="W32" s="756"/>
      <c r="X32" s="756"/>
      <c r="Y32" s="757"/>
      <c r="Z32" s="495" t="s">
        <v>188</v>
      </c>
      <c r="AA32" s="756"/>
      <c r="AB32" s="756"/>
      <c r="AC32" s="757"/>
      <c r="AD32" s="495" t="s">
        <v>43</v>
      </c>
      <c r="AE32" s="757"/>
      <c r="AF32" s="764" t="s">
        <v>70</v>
      </c>
      <c r="AG32" s="765"/>
      <c r="AH32" s="765"/>
      <c r="AI32" s="765"/>
      <c r="AJ32" s="765"/>
      <c r="AK32" s="765"/>
      <c r="AL32" s="765"/>
      <c r="AM32" s="765"/>
      <c r="AN32" s="765"/>
      <c r="AO32" s="765"/>
      <c r="AP32" s="765"/>
      <c r="AQ32" s="765"/>
      <c r="AR32" s="765"/>
      <c r="AS32" s="765"/>
      <c r="AT32" s="765"/>
      <c r="AU32" s="766"/>
      <c r="AV32" s="238"/>
      <c r="AW32" s="223" t="s">
        <v>373</v>
      </c>
      <c r="AX32" s="225" t="str">
        <f>Z55</f>
        <v>○</v>
      </c>
    </row>
    <row r="33" spans="1:50" ht="19.5" x14ac:dyDescent="0.4">
      <c r="A33" s="238"/>
      <c r="B33" s="742" t="s">
        <v>179</v>
      </c>
      <c r="C33" s="743"/>
      <c r="D33" s="743"/>
      <c r="E33" s="743"/>
      <c r="F33" s="743"/>
      <c r="G33" s="743"/>
      <c r="H33" s="743"/>
      <c r="I33" s="744"/>
      <c r="J33" s="762"/>
      <c r="K33" s="763"/>
      <c r="L33" s="763"/>
      <c r="M33" s="763"/>
      <c r="N33" s="762"/>
      <c r="O33" s="763"/>
      <c r="P33" s="763"/>
      <c r="Q33" s="763"/>
      <c r="R33" s="748">
        <f>ROUNDDOWN(J33*N33/(100*100),2)</f>
        <v>0</v>
      </c>
      <c r="S33" s="749"/>
      <c r="T33" s="749"/>
      <c r="U33" s="749"/>
      <c r="V33" s="753" t="s">
        <v>182</v>
      </c>
      <c r="W33" s="754"/>
      <c r="X33" s="754"/>
      <c r="Y33" s="755"/>
      <c r="Z33" s="753" t="s">
        <v>182</v>
      </c>
      <c r="AA33" s="754"/>
      <c r="AB33" s="754"/>
      <c r="AC33" s="755"/>
      <c r="AD33" s="753" t="str">
        <f xml:space="preserve">
IF(COUNTA(J33:Q33)=0,"○",
IF(COUNTA(J33:Q33)=2,"◎",
IF(COUNTA(J33:Q33)=1,"×")))</f>
        <v>○</v>
      </c>
      <c r="AE33" s="755"/>
      <c r="AF33" s="742" t="str">
        <f xml:space="preserve">
IF(COUNTA(J33:Q33)=0,"申請しない場合は入力不要です。",
IF(COUNTA(J33:Q33)=2,"適切に入力がされました。",
IF(COUNTA(J33:Q33)=1,"【要修正】縦横の寸法をいずれも入力してください。")))</f>
        <v>申請しない場合は入力不要です。</v>
      </c>
      <c r="AG33" s="743"/>
      <c r="AH33" s="743"/>
      <c r="AI33" s="743"/>
      <c r="AJ33" s="743"/>
      <c r="AK33" s="743"/>
      <c r="AL33" s="743"/>
      <c r="AM33" s="743"/>
      <c r="AN33" s="743"/>
      <c r="AO33" s="743"/>
      <c r="AP33" s="743"/>
      <c r="AQ33" s="743"/>
      <c r="AR33" s="743"/>
      <c r="AS33" s="743"/>
      <c r="AT33" s="743"/>
      <c r="AU33" s="744"/>
      <c r="AV33" s="238"/>
      <c r="AX33" s="225" t="str">
        <f>Z67</f>
        <v>○</v>
      </c>
    </row>
    <row r="34" spans="1:50" ht="19.5" x14ac:dyDescent="0.4">
      <c r="A34" s="238"/>
      <c r="B34" s="742" t="s">
        <v>183</v>
      </c>
      <c r="C34" s="743"/>
      <c r="D34" s="743"/>
      <c r="E34" s="743"/>
      <c r="F34" s="743"/>
      <c r="G34" s="743"/>
      <c r="H34" s="743"/>
      <c r="I34" s="744"/>
      <c r="J34" s="762"/>
      <c r="K34" s="763"/>
      <c r="L34" s="763"/>
      <c r="M34" s="763"/>
      <c r="N34" s="762"/>
      <c r="O34" s="763"/>
      <c r="P34" s="763"/>
      <c r="Q34" s="763"/>
      <c r="R34" s="748">
        <f>ROUNDDOWN(J34*N34/(100*100),2)</f>
        <v>0</v>
      </c>
      <c r="S34" s="749"/>
      <c r="T34" s="749"/>
      <c r="U34" s="749"/>
      <c r="V34" s="750">
        <f>IFERROR(R34/$R$33,0)</f>
        <v>0</v>
      </c>
      <c r="W34" s="751"/>
      <c r="X34" s="751"/>
      <c r="Y34" s="752"/>
      <c r="Z34" s="750">
        <v>0.1</v>
      </c>
      <c r="AA34" s="751"/>
      <c r="AB34" s="751"/>
      <c r="AC34" s="752"/>
      <c r="AD34" s="753" t="str">
        <f xml:space="preserve">
IF(COUNTA(J34:Q34)=0,"○",
IF(COUNTA(J34:Q34)=1,"×",
IF(AND(COUNTA(J34:Q34)=2,V34&gt;=Z34),"◎",
IF(AND(COUNTA(J34:Q34)=2,V34&lt;Z34),"×"))))</f>
        <v>○</v>
      </c>
      <c r="AE34" s="755"/>
      <c r="AF34" s="742" t="str">
        <f xml:space="preserve">
IF(COUNTA(J34:Q34)=0,"申請しない場合は入力不要です。",
IF(COUNTA(J34:Q34)=1,"【要修正】縦横の寸法をいずれも入力してください。",
IF(AND(COUNTA(J34:Q34)=2,V34&gt;=Z34),"適切に入力がされました。",
IF(AND(COUNTA(J34:Q34)=2,V34&lt;Z34),"【要修正】「発熱外来の明示部分」の専有割合が必要割合を下回っています。"))))</f>
        <v>申請しない場合は入力不要です。</v>
      </c>
      <c r="AG34" s="743"/>
      <c r="AH34" s="743"/>
      <c r="AI34" s="743"/>
      <c r="AJ34" s="743"/>
      <c r="AK34" s="743"/>
      <c r="AL34" s="743"/>
      <c r="AM34" s="743"/>
      <c r="AN34" s="743"/>
      <c r="AO34" s="743"/>
      <c r="AP34" s="743"/>
      <c r="AQ34" s="743"/>
      <c r="AR34" s="743"/>
      <c r="AS34" s="743"/>
      <c r="AT34" s="743"/>
      <c r="AU34" s="744"/>
      <c r="AV34" s="238"/>
    </row>
    <row r="35" spans="1:50" ht="19.5" x14ac:dyDescent="0.4">
      <c r="A35" s="238"/>
      <c r="B35" s="742" t="s">
        <v>187</v>
      </c>
      <c r="C35" s="743"/>
      <c r="D35" s="743"/>
      <c r="E35" s="743"/>
      <c r="F35" s="743"/>
      <c r="G35" s="743"/>
      <c r="H35" s="743"/>
      <c r="I35" s="744"/>
      <c r="J35" s="762"/>
      <c r="K35" s="763"/>
      <c r="L35" s="763"/>
      <c r="M35" s="763"/>
      <c r="N35" s="762"/>
      <c r="O35" s="763"/>
      <c r="P35" s="763"/>
      <c r="Q35" s="763"/>
      <c r="R35" s="748">
        <f t="shared" ref="R35:R37" si="0">ROUNDDOWN(J35*N35/(100*100),2)</f>
        <v>0</v>
      </c>
      <c r="S35" s="749"/>
      <c r="T35" s="749"/>
      <c r="U35" s="749"/>
      <c r="V35" s="750">
        <f t="shared" ref="V35:V37" si="1">IFERROR(R35/$R$33,0)</f>
        <v>0</v>
      </c>
      <c r="W35" s="751"/>
      <c r="X35" s="751"/>
      <c r="Y35" s="752"/>
      <c r="Z35" s="750">
        <v>0.25</v>
      </c>
      <c r="AA35" s="751"/>
      <c r="AB35" s="751"/>
      <c r="AC35" s="752"/>
      <c r="AD35" s="753" t="str">
        <f t="shared" ref="AD35:AD37" si="2" xml:space="preserve">
IF(COUNTA(J35:Q35)=0,"○",
IF(COUNTA(J35:Q35)=1,"×",
IF(AND(COUNTA(J35:Q35)=2,V35&gt;=Z35),"◎",
IF(AND(COUNTA(J35:Q35)=2,V35&lt;Z35),"×"))))</f>
        <v>○</v>
      </c>
      <c r="AE35" s="755"/>
      <c r="AF35" s="742" t="str">
        <f xml:space="preserve">
IF(COUNTA(J35:Q35)=0,"申請しない場合は入力不要です。",
IF(COUNTA(J35:Q35)=1,"【要修正】縦横の寸法をいずれも入力してください。",
IF(AND(COUNTA(J35:Q35)=2,V35&gt;=Z35),"適切に入力がされました。",
IF(AND(COUNTA(J35:Q35)=2,V35&lt;Z35),"【要修正】「医療機関情報」の専有割合が必要割合を下回っています。"))))</f>
        <v>申請しない場合は入力不要です。</v>
      </c>
      <c r="AG35" s="743"/>
      <c r="AH35" s="743"/>
      <c r="AI35" s="743"/>
      <c r="AJ35" s="743"/>
      <c r="AK35" s="743"/>
      <c r="AL35" s="743"/>
      <c r="AM35" s="743"/>
      <c r="AN35" s="743"/>
      <c r="AO35" s="743"/>
      <c r="AP35" s="743"/>
      <c r="AQ35" s="743"/>
      <c r="AR35" s="743"/>
      <c r="AS35" s="743"/>
      <c r="AT35" s="743"/>
      <c r="AU35" s="744"/>
      <c r="AV35" s="238"/>
    </row>
    <row r="36" spans="1:50" ht="19.5" x14ac:dyDescent="0.4">
      <c r="A36" s="238"/>
      <c r="B36" s="742" t="s">
        <v>185</v>
      </c>
      <c r="C36" s="743"/>
      <c r="D36" s="743"/>
      <c r="E36" s="743"/>
      <c r="F36" s="743"/>
      <c r="G36" s="743"/>
      <c r="H36" s="743"/>
      <c r="I36" s="744"/>
      <c r="J36" s="762"/>
      <c r="K36" s="763"/>
      <c r="L36" s="763"/>
      <c r="M36" s="763"/>
      <c r="N36" s="762"/>
      <c r="O36" s="763"/>
      <c r="P36" s="763"/>
      <c r="Q36" s="763"/>
      <c r="R36" s="748">
        <f t="shared" si="0"/>
        <v>0</v>
      </c>
      <c r="S36" s="749"/>
      <c r="T36" s="749"/>
      <c r="U36" s="749"/>
      <c r="V36" s="750">
        <f t="shared" si="1"/>
        <v>0</v>
      </c>
      <c r="W36" s="751"/>
      <c r="X36" s="751"/>
      <c r="Y36" s="752"/>
      <c r="Z36" s="750">
        <v>0.2</v>
      </c>
      <c r="AA36" s="751"/>
      <c r="AB36" s="751"/>
      <c r="AC36" s="752"/>
      <c r="AD36" s="753" t="str">
        <f t="shared" si="2"/>
        <v>○</v>
      </c>
      <c r="AE36" s="755"/>
      <c r="AF36" s="742" t="str">
        <f xml:space="preserve">
IF(COUNTA(J36:Q36)=0,"申請しない場合は入力不要です。",
IF(COUNTA(J36:Q36)=1,"【要修正】縦横の寸法をいずれも入力してください。",
IF(AND(COUNTA(J36:Q36)=2,V36&gt;=Z36),"適切に入力がされました。",
IF(AND(COUNTA(J36:Q36)=2,V36&lt;Z36),"【要修正】「案内図」の専有割合が必要割合を下回っています。"))))</f>
        <v>申請しない場合は入力不要です。</v>
      </c>
      <c r="AG36" s="743"/>
      <c r="AH36" s="743"/>
      <c r="AI36" s="743"/>
      <c r="AJ36" s="743"/>
      <c r="AK36" s="743"/>
      <c r="AL36" s="743"/>
      <c r="AM36" s="743"/>
      <c r="AN36" s="743"/>
      <c r="AO36" s="743"/>
      <c r="AP36" s="743"/>
      <c r="AQ36" s="743"/>
      <c r="AR36" s="743"/>
      <c r="AS36" s="743"/>
      <c r="AT36" s="743"/>
      <c r="AU36" s="744"/>
      <c r="AV36" s="238"/>
    </row>
    <row r="37" spans="1:50" ht="19.5" x14ac:dyDescent="0.4">
      <c r="A37" s="238"/>
      <c r="B37" s="742" t="s">
        <v>186</v>
      </c>
      <c r="C37" s="743"/>
      <c r="D37" s="743"/>
      <c r="E37" s="743"/>
      <c r="F37" s="743"/>
      <c r="G37" s="743"/>
      <c r="H37" s="743"/>
      <c r="I37" s="744"/>
      <c r="J37" s="762"/>
      <c r="K37" s="763"/>
      <c r="L37" s="763"/>
      <c r="M37" s="763"/>
      <c r="N37" s="762"/>
      <c r="O37" s="763"/>
      <c r="P37" s="763"/>
      <c r="Q37" s="763"/>
      <c r="R37" s="748">
        <f t="shared" si="0"/>
        <v>0</v>
      </c>
      <c r="S37" s="749"/>
      <c r="T37" s="749"/>
      <c r="U37" s="749"/>
      <c r="V37" s="750">
        <f t="shared" si="1"/>
        <v>0</v>
      </c>
      <c r="W37" s="751"/>
      <c r="X37" s="751"/>
      <c r="Y37" s="752"/>
      <c r="Z37" s="750">
        <v>0.2</v>
      </c>
      <c r="AA37" s="751"/>
      <c r="AB37" s="751"/>
      <c r="AC37" s="752"/>
      <c r="AD37" s="753" t="str">
        <f t="shared" si="2"/>
        <v>○</v>
      </c>
      <c r="AE37" s="755"/>
      <c r="AF37" s="742" t="str">
        <f xml:space="preserve">
IF(COUNTA(J37:Q37)=0,"申請しない場合は入力不要です。",
IF(COUNTA(J37:Q37)=1,"【要修正】縦横の寸法をいずれも入力してください。",
IF(AND(COUNTA(J37:Q37)=2,V37&gt;=Z37),"適切に入力がされました。",
IF(AND(COUNTA(J37:Q37)=2,V37&lt;Z37),"【要修正】「対応時間」の専有割合が必要割合を下回っています。"))))</f>
        <v>申請しない場合は入力不要です。</v>
      </c>
      <c r="AG37" s="743"/>
      <c r="AH37" s="743"/>
      <c r="AI37" s="743"/>
      <c r="AJ37" s="743"/>
      <c r="AK37" s="743"/>
      <c r="AL37" s="743"/>
      <c r="AM37" s="743"/>
      <c r="AN37" s="743"/>
      <c r="AO37" s="743"/>
      <c r="AP37" s="743"/>
      <c r="AQ37" s="743"/>
      <c r="AR37" s="743"/>
      <c r="AS37" s="743"/>
      <c r="AT37" s="743"/>
      <c r="AU37" s="744"/>
      <c r="AV37" s="238"/>
    </row>
    <row r="38" spans="1:50" ht="19.5" x14ac:dyDescent="0.4">
      <c r="A38" s="238"/>
      <c r="B38" s="742" t="s">
        <v>106</v>
      </c>
      <c r="C38" s="743"/>
      <c r="D38" s="743"/>
      <c r="E38" s="743"/>
      <c r="F38" s="743"/>
      <c r="G38" s="743"/>
      <c r="H38" s="743"/>
      <c r="I38" s="744"/>
      <c r="J38" s="745" t="s">
        <v>182</v>
      </c>
      <c r="K38" s="746"/>
      <c r="L38" s="746"/>
      <c r="M38" s="747"/>
      <c r="N38" s="745" t="s">
        <v>182</v>
      </c>
      <c r="O38" s="746"/>
      <c r="P38" s="746"/>
      <c r="Q38" s="747"/>
      <c r="R38" s="748">
        <f>R33-SUM(R34:U37)</f>
        <v>0</v>
      </c>
      <c r="S38" s="749"/>
      <c r="T38" s="749"/>
      <c r="U38" s="749"/>
      <c r="V38" s="750">
        <f>IFERROR(R38/$R$33,0)</f>
        <v>0</v>
      </c>
      <c r="W38" s="751"/>
      <c r="X38" s="751"/>
      <c r="Y38" s="752"/>
      <c r="Z38" s="753" t="s">
        <v>182</v>
      </c>
      <c r="AA38" s="754"/>
      <c r="AB38" s="754"/>
      <c r="AC38" s="755"/>
      <c r="AD38" s="753" t="str">
        <f xml:space="preserve">
IF(COUNTIF(AD33:AE37,"○")=5,"○",
IF(COUNTIF(AD33:AE37,"×")&gt;=1,"×",
IF(AND(COUNTIF(AD33:AE37,"◎")=5,R38&lt;0),"×",
IF(AND(COUNTIF(AD33:AE37,"◎")=5,R38&gt;=0),"◎",
IF(AND(COUNTIF(AD33:AE37,"◎")&lt;&gt;5,R38&lt;0),"×",
IF(AND(COUNTIF(AD33:AE37,"◎")&lt;&gt;5,R38&gt;=0),"×"
))))))</f>
        <v>○</v>
      </c>
      <c r="AE38" s="755"/>
      <c r="AF38" s="742" t="str">
        <f xml:space="preserve">
IF(COUNTIF(AD33:AE37,"○")=5,"申請しない場合は入力不要です。",
IF(COUNTIF(AD33:AE37,"×")&gt;=1,"【要修正】入力不十分の箇所があります。",
IF(AND(COUNTIF(AD33:AE37,"◎")=5,R38&lt;0),"【要修正】各部分の面積の和が総面積を上回っています。",
IF(AND(COUNTIF(AD33:AE37,"◎")=5,R38&gt;=0),"適切に入力がされました。",
IF(AND(COUNTIF(AD33:AE37,"◎")&lt;&gt;5,R38&lt;0),"【要修正】入力不十分かつ各部分の面積の和が総面積を上回っています。",
IF(AND(COUNTIF(AD33:AE37,"◎")&lt;&gt;5,R38&gt;=0),"【要修正】入力不十分な箇所があります。"
))))))</f>
        <v>申請しない場合は入力不要です。</v>
      </c>
      <c r="AG38" s="743"/>
      <c r="AH38" s="743"/>
      <c r="AI38" s="743"/>
      <c r="AJ38" s="743"/>
      <c r="AK38" s="743"/>
      <c r="AL38" s="743"/>
      <c r="AM38" s="743"/>
      <c r="AN38" s="743"/>
      <c r="AO38" s="743"/>
      <c r="AP38" s="743"/>
      <c r="AQ38" s="743"/>
      <c r="AR38" s="743"/>
      <c r="AS38" s="743"/>
      <c r="AT38" s="743"/>
      <c r="AU38" s="744"/>
      <c r="AV38" s="238"/>
    </row>
    <row r="39" spans="1:50" ht="19.5" hidden="1" x14ac:dyDescent="0.4">
      <c r="A39" s="238"/>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row>
    <row r="40" spans="1:50" ht="19.5" x14ac:dyDescent="0.4">
      <c r="A40" s="238"/>
      <c r="B40" s="238" t="s">
        <v>257</v>
      </c>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row>
    <row r="41" spans="1:50" ht="19.5" x14ac:dyDescent="0.4">
      <c r="A41" s="238"/>
      <c r="B41" s="500" t="s">
        <v>189</v>
      </c>
      <c r="C41" s="527"/>
      <c r="D41" s="527"/>
      <c r="E41" s="527"/>
      <c r="F41" s="500" t="s">
        <v>43</v>
      </c>
      <c r="G41" s="527"/>
      <c r="H41" s="500" t="s">
        <v>70</v>
      </c>
      <c r="I41" s="527"/>
      <c r="J41" s="527"/>
      <c r="K41" s="527"/>
      <c r="L41" s="527"/>
      <c r="M41" s="527"/>
      <c r="N41" s="527"/>
      <c r="O41" s="527"/>
      <c r="P41" s="527"/>
      <c r="Q41" s="527"/>
      <c r="R41" s="238"/>
      <c r="S41" s="238"/>
      <c r="T41" s="238"/>
      <c r="U41" s="238"/>
      <c r="V41" s="238"/>
      <c r="W41" s="238"/>
      <c r="X41" s="238"/>
      <c r="Y41" s="238"/>
      <c r="Z41" s="500" t="s">
        <v>190</v>
      </c>
      <c r="AA41" s="527"/>
      <c r="AB41" s="527"/>
      <c r="AC41" s="527"/>
      <c r="AD41" s="500" t="s">
        <v>70</v>
      </c>
      <c r="AE41" s="527"/>
      <c r="AF41" s="527"/>
      <c r="AG41" s="527"/>
      <c r="AH41" s="527"/>
      <c r="AI41" s="527"/>
      <c r="AJ41" s="527"/>
      <c r="AK41" s="527"/>
      <c r="AL41" s="527"/>
      <c r="AM41" s="527"/>
      <c r="AN41" s="527"/>
      <c r="AO41" s="527"/>
      <c r="AP41" s="527"/>
      <c r="AQ41" s="527"/>
      <c r="AR41" s="527"/>
      <c r="AS41" s="527"/>
      <c r="AT41" s="527"/>
      <c r="AU41" s="527"/>
      <c r="AV41" s="238"/>
    </row>
    <row r="42" spans="1:50" ht="19.5" x14ac:dyDescent="0.4">
      <c r="A42" s="238"/>
      <c r="B42" s="767"/>
      <c r="C42" s="768"/>
      <c r="D42" s="768"/>
      <c r="E42" s="768"/>
      <c r="F42" s="500" t="str">
        <f>IF(COUNTA(B42)=1,"◎","○")</f>
        <v>○</v>
      </c>
      <c r="G42" s="527"/>
      <c r="H42" s="761" t="str">
        <f>IF(COUNTA(B42)=1,"適切に入力がされました。","申請しない場合は入力不要です。")</f>
        <v>申請しない場合は入力不要です。</v>
      </c>
      <c r="I42" s="758"/>
      <c r="J42" s="758"/>
      <c r="K42" s="758"/>
      <c r="L42" s="758"/>
      <c r="M42" s="758"/>
      <c r="N42" s="758"/>
      <c r="O42" s="758"/>
      <c r="P42" s="758"/>
      <c r="Q42" s="758"/>
      <c r="R42" s="238"/>
      <c r="S42" s="238"/>
      <c r="T42" s="238"/>
      <c r="U42" s="238"/>
      <c r="V42" s="238"/>
      <c r="W42" s="238"/>
      <c r="X42" s="238"/>
      <c r="Y42" s="238"/>
      <c r="Z42" s="500" t="str">
        <f xml:space="preserve">
IF(SUM(COUNTIF(F42,"○"),COUNTIF(AD45:AE50,"○"))=7,"○",
IF(SUM(COUNTIF(F42,"×"),COUNTIF(AD45:AE50,"×"))&gt;=1,"×",
IF(SUM(COUNTIF(F42,"◎"),COUNTIF(AD45:AE50,"◎"))&lt;&gt;7,"×",
IF(SUM(COUNTIF(F42,"◎"),COUNTIF(AD45:AE50,"◎"))=7,"◎"))))</f>
        <v>○</v>
      </c>
      <c r="AA42" s="527"/>
      <c r="AB42" s="527"/>
      <c r="AC42" s="527"/>
      <c r="AD42" s="769" t="str">
        <f xml:space="preserve">
IF(SUM(COUNTIF(F42,"○"),COUNTIF(AD45:AE50,"○"))=7,"申請しない場合は入力不要です。",
IF(SUM(COUNTIF(F42,"×"),COUNTIF(AD45:AE50,"×"))&gt;=1,"【要修正】入力不十分な箇所があります。（「×」表示の箇所を確認。）",
IF(SUM(COUNTIF(F42,"◎"),COUNTIF(AD45:AE50,"◎"))&lt;&gt;7,"【要修正】入力不十分な箇所があります。（全て「◎」であるか確認。）",
IF(SUM(COUNTIF(F42,"◎"),COUNTIF(AD45:AE50,"◎"))=7,"適切に入力がされました。"))))</f>
        <v>申請しない場合は入力不要です。</v>
      </c>
      <c r="AE42" s="770"/>
      <c r="AF42" s="770"/>
      <c r="AG42" s="770"/>
      <c r="AH42" s="770"/>
      <c r="AI42" s="770"/>
      <c r="AJ42" s="770"/>
      <c r="AK42" s="770"/>
      <c r="AL42" s="770"/>
      <c r="AM42" s="770"/>
      <c r="AN42" s="770"/>
      <c r="AO42" s="770"/>
      <c r="AP42" s="770"/>
      <c r="AQ42" s="770"/>
      <c r="AR42" s="770"/>
      <c r="AS42" s="770"/>
      <c r="AT42" s="770"/>
      <c r="AU42" s="770"/>
      <c r="AV42" s="238"/>
    </row>
    <row r="43" spans="1:50" ht="9.9499999999999993" customHeight="1" x14ac:dyDescent="0.4">
      <c r="A43" s="238"/>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row>
    <row r="44" spans="1:50" ht="19.5" x14ac:dyDescent="0.4">
      <c r="A44" s="238"/>
      <c r="B44" s="495" t="s">
        <v>184</v>
      </c>
      <c r="C44" s="756"/>
      <c r="D44" s="756"/>
      <c r="E44" s="756"/>
      <c r="F44" s="756"/>
      <c r="G44" s="756"/>
      <c r="H44" s="756"/>
      <c r="I44" s="757"/>
      <c r="J44" s="500" t="s">
        <v>363</v>
      </c>
      <c r="K44" s="527"/>
      <c r="L44" s="527"/>
      <c r="M44" s="758"/>
      <c r="N44" s="500" t="s">
        <v>265</v>
      </c>
      <c r="O44" s="527"/>
      <c r="P44" s="527"/>
      <c r="Q44" s="758"/>
      <c r="R44" s="500" t="s">
        <v>180</v>
      </c>
      <c r="S44" s="527"/>
      <c r="T44" s="527"/>
      <c r="U44" s="758"/>
      <c r="V44" s="495" t="s">
        <v>181</v>
      </c>
      <c r="W44" s="756"/>
      <c r="X44" s="756"/>
      <c r="Y44" s="757"/>
      <c r="Z44" s="495" t="s">
        <v>188</v>
      </c>
      <c r="AA44" s="756"/>
      <c r="AB44" s="756"/>
      <c r="AC44" s="757"/>
      <c r="AD44" s="495" t="s">
        <v>43</v>
      </c>
      <c r="AE44" s="757"/>
      <c r="AF44" s="764" t="s">
        <v>70</v>
      </c>
      <c r="AG44" s="765"/>
      <c r="AH44" s="765"/>
      <c r="AI44" s="765"/>
      <c r="AJ44" s="765"/>
      <c r="AK44" s="765"/>
      <c r="AL44" s="765"/>
      <c r="AM44" s="765"/>
      <c r="AN44" s="765"/>
      <c r="AO44" s="765"/>
      <c r="AP44" s="765"/>
      <c r="AQ44" s="765"/>
      <c r="AR44" s="765"/>
      <c r="AS44" s="765"/>
      <c r="AT44" s="765"/>
      <c r="AU44" s="766"/>
      <c r="AV44" s="238"/>
    </row>
    <row r="45" spans="1:50" ht="19.5" x14ac:dyDescent="0.4">
      <c r="A45" s="238"/>
      <c r="B45" s="742" t="s">
        <v>179</v>
      </c>
      <c r="C45" s="743"/>
      <c r="D45" s="743"/>
      <c r="E45" s="743"/>
      <c r="F45" s="743"/>
      <c r="G45" s="743"/>
      <c r="H45" s="743"/>
      <c r="I45" s="744"/>
      <c r="J45" s="762"/>
      <c r="K45" s="763"/>
      <c r="L45" s="763"/>
      <c r="M45" s="763"/>
      <c r="N45" s="762"/>
      <c r="O45" s="763"/>
      <c r="P45" s="763"/>
      <c r="Q45" s="763"/>
      <c r="R45" s="748">
        <f>ROUNDDOWN(J45*N45/(100*100),2)</f>
        <v>0</v>
      </c>
      <c r="S45" s="749"/>
      <c r="T45" s="749"/>
      <c r="U45" s="749"/>
      <c r="V45" s="753" t="s">
        <v>182</v>
      </c>
      <c r="W45" s="754"/>
      <c r="X45" s="754"/>
      <c r="Y45" s="755"/>
      <c r="Z45" s="753" t="s">
        <v>182</v>
      </c>
      <c r="AA45" s="754"/>
      <c r="AB45" s="754"/>
      <c r="AC45" s="755"/>
      <c r="AD45" s="753" t="str">
        <f xml:space="preserve">
IF(COUNTA(J45:Q45)=0,"○",
IF(COUNTA(J45:Q45)=2,"◎",
IF(COUNTA(J45:Q45)=1,"×")))</f>
        <v>○</v>
      </c>
      <c r="AE45" s="755"/>
      <c r="AF45" s="742" t="str">
        <f xml:space="preserve">
IF(COUNTA(J45:Q45)=0,"申請しない場合は入力不要です。",
IF(COUNTA(J45:Q45)=2,"適切に入力がされました。",
IF(COUNTA(J45:Q45)=1,"【要修正】縦横の寸法をいずれも入力してください。")))</f>
        <v>申請しない場合は入力不要です。</v>
      </c>
      <c r="AG45" s="743"/>
      <c r="AH45" s="743"/>
      <c r="AI45" s="743"/>
      <c r="AJ45" s="743"/>
      <c r="AK45" s="743"/>
      <c r="AL45" s="743"/>
      <c r="AM45" s="743"/>
      <c r="AN45" s="743"/>
      <c r="AO45" s="743"/>
      <c r="AP45" s="743"/>
      <c r="AQ45" s="743"/>
      <c r="AR45" s="743"/>
      <c r="AS45" s="743"/>
      <c r="AT45" s="743"/>
      <c r="AU45" s="744"/>
      <c r="AV45" s="238"/>
    </row>
    <row r="46" spans="1:50" ht="19.5" x14ac:dyDescent="0.4">
      <c r="A46" s="238"/>
      <c r="B46" s="742" t="s">
        <v>183</v>
      </c>
      <c r="C46" s="743"/>
      <c r="D46" s="743"/>
      <c r="E46" s="743"/>
      <c r="F46" s="743"/>
      <c r="G46" s="743"/>
      <c r="H46" s="743"/>
      <c r="I46" s="744"/>
      <c r="J46" s="762"/>
      <c r="K46" s="763"/>
      <c r="L46" s="763"/>
      <c r="M46" s="763"/>
      <c r="N46" s="762"/>
      <c r="O46" s="763"/>
      <c r="P46" s="763"/>
      <c r="Q46" s="763"/>
      <c r="R46" s="748">
        <f t="shared" ref="R46:R49" si="3">ROUNDDOWN(J46*N46/(100*100),2)</f>
        <v>0</v>
      </c>
      <c r="S46" s="749"/>
      <c r="T46" s="749"/>
      <c r="U46" s="749"/>
      <c r="V46" s="750">
        <f>IFERROR(R46/$R$45,0)</f>
        <v>0</v>
      </c>
      <c r="W46" s="751"/>
      <c r="X46" s="751"/>
      <c r="Y46" s="752"/>
      <c r="Z46" s="750">
        <v>0.1</v>
      </c>
      <c r="AA46" s="751"/>
      <c r="AB46" s="751"/>
      <c r="AC46" s="752"/>
      <c r="AD46" s="753" t="str">
        <f xml:space="preserve">
IF(COUNTA(J46:Q46)=0,"○",
IF(COUNTA(J46:Q46)=1,"×",
IF(AND(COUNTA(J46:Q46)=2,V46&gt;=Z46),"◎",
IF(AND(COUNTA(J46:Q46)=2,V46&lt;Z46),"×"))))</f>
        <v>○</v>
      </c>
      <c r="AE46" s="755"/>
      <c r="AF46" s="742" t="str">
        <f xml:space="preserve">
IF(COUNTA(J46:Q46)=0,"申請しない場合は入力不要です。",
IF(COUNTA(J46:Q46)=1,"【要修正】縦横の寸法をいずれも入力してください。",
IF(AND(COUNTA(J46:Q46)=2,V46&gt;=Z46),"適切に入力がされました。",
IF(AND(COUNTA(J46:Q46)=2,V46&lt;Z46),"【要修正】「発熱外来の明示部分」の専有割合が必要割合を下回っています。"))))</f>
        <v>申請しない場合は入力不要です。</v>
      </c>
      <c r="AG46" s="743"/>
      <c r="AH46" s="743"/>
      <c r="AI46" s="743"/>
      <c r="AJ46" s="743"/>
      <c r="AK46" s="743"/>
      <c r="AL46" s="743"/>
      <c r="AM46" s="743"/>
      <c r="AN46" s="743"/>
      <c r="AO46" s="743"/>
      <c r="AP46" s="743"/>
      <c r="AQ46" s="743"/>
      <c r="AR46" s="743"/>
      <c r="AS46" s="743"/>
      <c r="AT46" s="743"/>
      <c r="AU46" s="744"/>
      <c r="AV46" s="238"/>
    </row>
    <row r="47" spans="1:50" ht="19.5" x14ac:dyDescent="0.4">
      <c r="A47" s="238"/>
      <c r="B47" s="742" t="s">
        <v>187</v>
      </c>
      <c r="C47" s="743"/>
      <c r="D47" s="743"/>
      <c r="E47" s="743"/>
      <c r="F47" s="743"/>
      <c r="G47" s="743"/>
      <c r="H47" s="743"/>
      <c r="I47" s="744"/>
      <c r="J47" s="762"/>
      <c r="K47" s="763"/>
      <c r="L47" s="763"/>
      <c r="M47" s="763"/>
      <c r="N47" s="762"/>
      <c r="O47" s="763"/>
      <c r="P47" s="763"/>
      <c r="Q47" s="763"/>
      <c r="R47" s="748">
        <f t="shared" si="3"/>
        <v>0</v>
      </c>
      <c r="S47" s="749"/>
      <c r="T47" s="749"/>
      <c r="U47" s="749"/>
      <c r="V47" s="750">
        <f t="shared" ref="V47:V50" si="4">IFERROR(R47/$R$45,0)</f>
        <v>0</v>
      </c>
      <c r="W47" s="751"/>
      <c r="X47" s="751"/>
      <c r="Y47" s="752"/>
      <c r="Z47" s="750">
        <v>0.25</v>
      </c>
      <c r="AA47" s="751"/>
      <c r="AB47" s="751"/>
      <c r="AC47" s="752"/>
      <c r="AD47" s="753" t="str">
        <f t="shared" ref="AD47:AD49" si="5" xml:space="preserve">
IF(COUNTA(J47:Q47)=0,"○",
IF(COUNTA(J47:Q47)=1,"×",
IF(AND(COUNTA(J47:Q47)=2,V47&gt;=Z47),"◎",
IF(AND(COUNTA(J47:Q47)=2,V47&lt;Z47),"×"))))</f>
        <v>○</v>
      </c>
      <c r="AE47" s="755"/>
      <c r="AF47" s="742" t="str">
        <f xml:space="preserve">
IF(COUNTA(J47:Q47)=0,"申請しない場合は入力不要です。",
IF(COUNTA(J47:Q47)=1,"【要修正】縦横の寸法をいずれも入力してください。",
IF(AND(COUNTA(J47:Q47)=2,V47&gt;=Z47),"適切に入力がされました。",
IF(AND(COUNTA(J47:Q47)=2,V47&lt;Z47),"【要修正】「医療機関情報」の専有割合が必要割合を下回っています。"))))</f>
        <v>申請しない場合は入力不要です。</v>
      </c>
      <c r="AG47" s="743"/>
      <c r="AH47" s="743"/>
      <c r="AI47" s="743"/>
      <c r="AJ47" s="743"/>
      <c r="AK47" s="743"/>
      <c r="AL47" s="743"/>
      <c r="AM47" s="743"/>
      <c r="AN47" s="743"/>
      <c r="AO47" s="743"/>
      <c r="AP47" s="743"/>
      <c r="AQ47" s="743"/>
      <c r="AR47" s="743"/>
      <c r="AS47" s="743"/>
      <c r="AT47" s="743"/>
      <c r="AU47" s="744"/>
      <c r="AV47" s="238"/>
    </row>
    <row r="48" spans="1:50" ht="19.5" x14ac:dyDescent="0.4">
      <c r="A48" s="238"/>
      <c r="B48" s="742" t="s">
        <v>185</v>
      </c>
      <c r="C48" s="743"/>
      <c r="D48" s="743"/>
      <c r="E48" s="743"/>
      <c r="F48" s="743"/>
      <c r="G48" s="743"/>
      <c r="H48" s="743"/>
      <c r="I48" s="744"/>
      <c r="J48" s="762"/>
      <c r="K48" s="763"/>
      <c r="L48" s="763"/>
      <c r="M48" s="763"/>
      <c r="N48" s="762"/>
      <c r="O48" s="763"/>
      <c r="P48" s="763"/>
      <c r="Q48" s="763"/>
      <c r="R48" s="748">
        <f t="shared" si="3"/>
        <v>0</v>
      </c>
      <c r="S48" s="749"/>
      <c r="T48" s="749"/>
      <c r="U48" s="749"/>
      <c r="V48" s="750">
        <f t="shared" si="4"/>
        <v>0</v>
      </c>
      <c r="W48" s="751"/>
      <c r="X48" s="751"/>
      <c r="Y48" s="752"/>
      <c r="Z48" s="750">
        <v>0.2</v>
      </c>
      <c r="AA48" s="751"/>
      <c r="AB48" s="751"/>
      <c r="AC48" s="752"/>
      <c r="AD48" s="753" t="str">
        <f t="shared" si="5"/>
        <v>○</v>
      </c>
      <c r="AE48" s="755"/>
      <c r="AF48" s="742" t="str">
        <f xml:space="preserve">
IF(COUNTA(J48:Q48)=0,"申請しない場合は入力不要です。",
IF(COUNTA(J48:Q48)=1,"【要修正】縦横の寸法をいずれも入力してください。",
IF(AND(COUNTA(J48:Q48)=2,V48&gt;=Z48),"適切に入力がされました。",
IF(AND(COUNTA(J48:Q48)=2,V48&lt;Z48),"【要修正】「案内図」の専有割合が必要割合を下回っています。"))))</f>
        <v>申請しない場合は入力不要です。</v>
      </c>
      <c r="AG48" s="743"/>
      <c r="AH48" s="743"/>
      <c r="AI48" s="743"/>
      <c r="AJ48" s="743"/>
      <c r="AK48" s="743"/>
      <c r="AL48" s="743"/>
      <c r="AM48" s="743"/>
      <c r="AN48" s="743"/>
      <c r="AO48" s="743"/>
      <c r="AP48" s="743"/>
      <c r="AQ48" s="743"/>
      <c r="AR48" s="743"/>
      <c r="AS48" s="743"/>
      <c r="AT48" s="743"/>
      <c r="AU48" s="744"/>
      <c r="AV48" s="238"/>
    </row>
    <row r="49" spans="1:48" ht="19.5" x14ac:dyDescent="0.4">
      <c r="A49" s="238"/>
      <c r="B49" s="742" t="s">
        <v>186</v>
      </c>
      <c r="C49" s="743"/>
      <c r="D49" s="743"/>
      <c r="E49" s="743"/>
      <c r="F49" s="743"/>
      <c r="G49" s="743"/>
      <c r="H49" s="743"/>
      <c r="I49" s="744"/>
      <c r="J49" s="762"/>
      <c r="K49" s="763"/>
      <c r="L49" s="763"/>
      <c r="M49" s="763"/>
      <c r="N49" s="762"/>
      <c r="O49" s="763"/>
      <c r="P49" s="763"/>
      <c r="Q49" s="763"/>
      <c r="R49" s="748">
        <f t="shared" si="3"/>
        <v>0</v>
      </c>
      <c r="S49" s="749"/>
      <c r="T49" s="749"/>
      <c r="U49" s="749"/>
      <c r="V49" s="750">
        <f t="shared" si="4"/>
        <v>0</v>
      </c>
      <c r="W49" s="751"/>
      <c r="X49" s="751"/>
      <c r="Y49" s="752"/>
      <c r="Z49" s="750">
        <v>0.2</v>
      </c>
      <c r="AA49" s="751"/>
      <c r="AB49" s="751"/>
      <c r="AC49" s="752"/>
      <c r="AD49" s="753" t="str">
        <f t="shared" si="5"/>
        <v>○</v>
      </c>
      <c r="AE49" s="755"/>
      <c r="AF49" s="742" t="str">
        <f xml:space="preserve">
IF(COUNTA(J49:Q49)=0,"申請しない場合は入力不要です。",
IF(COUNTA(J49:Q49)=1,"【要修正】縦横の寸法をいずれも入力してください。",
IF(AND(COUNTA(J49:Q49)=2,V49&gt;=Z49),"適切に入力がされました。",
IF(AND(COUNTA(J49:Q49)=2,V49&lt;Z49),"【要修正】「対応時間」の専有割合が必要割合を下回っています。"))))</f>
        <v>申請しない場合は入力不要です。</v>
      </c>
      <c r="AG49" s="743"/>
      <c r="AH49" s="743"/>
      <c r="AI49" s="743"/>
      <c r="AJ49" s="743"/>
      <c r="AK49" s="743"/>
      <c r="AL49" s="743"/>
      <c r="AM49" s="743"/>
      <c r="AN49" s="743"/>
      <c r="AO49" s="743"/>
      <c r="AP49" s="743"/>
      <c r="AQ49" s="743"/>
      <c r="AR49" s="743"/>
      <c r="AS49" s="743"/>
      <c r="AT49" s="743"/>
      <c r="AU49" s="744"/>
      <c r="AV49" s="238"/>
    </row>
    <row r="50" spans="1:48" ht="18.399999999999999" customHeight="1" x14ac:dyDescent="0.4">
      <c r="A50" s="238"/>
      <c r="B50" s="742" t="s">
        <v>106</v>
      </c>
      <c r="C50" s="743"/>
      <c r="D50" s="743"/>
      <c r="E50" s="743"/>
      <c r="F50" s="743"/>
      <c r="G50" s="743"/>
      <c r="H50" s="743"/>
      <c r="I50" s="744"/>
      <c r="J50" s="745" t="s">
        <v>182</v>
      </c>
      <c r="K50" s="746"/>
      <c r="L50" s="746"/>
      <c r="M50" s="747"/>
      <c r="N50" s="745" t="s">
        <v>182</v>
      </c>
      <c r="O50" s="746"/>
      <c r="P50" s="746"/>
      <c r="Q50" s="747"/>
      <c r="R50" s="748">
        <f>R45-SUM(R46:U49)</f>
        <v>0</v>
      </c>
      <c r="S50" s="749"/>
      <c r="T50" s="749"/>
      <c r="U50" s="749"/>
      <c r="V50" s="750">
        <f t="shared" si="4"/>
        <v>0</v>
      </c>
      <c r="W50" s="751"/>
      <c r="X50" s="751"/>
      <c r="Y50" s="752"/>
      <c r="Z50" s="753" t="s">
        <v>182</v>
      </c>
      <c r="AA50" s="754"/>
      <c r="AB50" s="754"/>
      <c r="AC50" s="755"/>
      <c r="AD50" s="753" t="str">
        <f xml:space="preserve">
IF(COUNTIF(AD45:AE49,"○")=5,"○",
IF(COUNTIF(AD45:AE49,"×")&gt;=1,"×",
IF(AND(COUNTIF(AD45:AE49,"◎")=5,R50&lt;0),"×",
IF(AND(COUNTIF(AD45:AE49,"◎")=5,R50&gt;=0),"◎",
IF(AND(COUNTIF(AD45:AE49,"◎")&lt;&gt;5,R50&lt;0),"×",
IF(AND(COUNTIF(AD45:AE49,"◎")&lt;&gt;5,R50&gt;=0),"×"
))))))</f>
        <v>○</v>
      </c>
      <c r="AE50" s="755"/>
      <c r="AF50" s="742" t="str">
        <f xml:space="preserve">
IF(COUNTIF(AD45:AE49,"○")=5,"申請しない場合は入力不要です。",
IF(COUNTIF(AD45:AE49,"×")&gt;=1,"【要修正】入力不十分の箇所があります。",
IF(AND(COUNTIF(AD45:AE49,"◎")=5,R50&lt;0),"【要修正】各部分の面積の和が総面積を上回っています。",
IF(AND(COUNTIF(AD45:AE49,"◎")=5,R50&gt;=0),"適切に入力がされました。",
IF(AND(COUNTIF(AD45:AE49,"◎")&lt;&gt;5,R50&lt;0),"【要修正】入力不十分かつ各部分の面積の和が総面積を上回っています。",
IF(AND(COUNTIF(AD45:AE49,"◎")&lt;&gt;5,R50&gt;=0),"【要修正】入力不十分な箇所があります。"
))))))</f>
        <v>申請しない場合は入力不要です。</v>
      </c>
      <c r="AG50" s="743"/>
      <c r="AH50" s="743"/>
      <c r="AI50" s="743"/>
      <c r="AJ50" s="743"/>
      <c r="AK50" s="743"/>
      <c r="AL50" s="743"/>
      <c r="AM50" s="743"/>
      <c r="AN50" s="743"/>
      <c r="AO50" s="743"/>
      <c r="AP50" s="743"/>
      <c r="AQ50" s="743"/>
      <c r="AR50" s="743"/>
      <c r="AS50" s="743"/>
      <c r="AT50" s="743"/>
      <c r="AU50" s="744"/>
      <c r="AV50" s="238"/>
    </row>
    <row r="51" spans="1:48" ht="19.5" x14ac:dyDescent="0.4">
      <c r="R51" s="243"/>
      <c r="S51" s="243"/>
      <c r="T51" s="244"/>
      <c r="U51" s="244"/>
      <c r="V51" s="245"/>
      <c r="W51" s="246"/>
      <c r="X51" s="246"/>
      <c r="Y51" s="246"/>
      <c r="Z51" s="247"/>
      <c r="AA51" s="248"/>
      <c r="AB51" s="248"/>
      <c r="AC51" s="248"/>
      <c r="AD51" s="247"/>
      <c r="AE51" s="248"/>
      <c r="AF51" s="249"/>
      <c r="AG51" s="250"/>
      <c r="AH51" s="250"/>
      <c r="AI51" s="250"/>
      <c r="AJ51" s="250"/>
      <c r="AK51" s="250"/>
      <c r="AL51" s="250"/>
      <c r="AM51" s="250"/>
      <c r="AN51" s="250"/>
      <c r="AO51" s="250"/>
      <c r="AP51" s="250"/>
      <c r="AQ51" s="250"/>
      <c r="AR51" s="250"/>
      <c r="AS51" s="250"/>
      <c r="AT51" s="250"/>
      <c r="AU51" s="250"/>
      <c r="AV51" s="243"/>
    </row>
    <row r="52" spans="1:48" ht="19.5" x14ac:dyDescent="0.4">
      <c r="A52" s="238"/>
      <c r="B52" s="498" t="str">
        <f>"イ．電柱広告の場合　【総合判定】"&amp;Z55&amp;"："&amp;AD55</f>
        <v>イ．電柱広告の場合　【総合判定】○：申請しない場合は入力不要です。</v>
      </c>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c r="AI52" s="738"/>
      <c r="AJ52" s="738"/>
      <c r="AK52" s="738"/>
      <c r="AL52" s="738"/>
      <c r="AM52" s="738"/>
      <c r="AN52" s="738"/>
      <c r="AO52" s="738"/>
      <c r="AP52" s="738"/>
      <c r="AQ52" s="738"/>
      <c r="AR52" s="738"/>
      <c r="AS52" s="738"/>
      <c r="AT52" s="738"/>
      <c r="AU52" s="738"/>
      <c r="AV52" s="238"/>
    </row>
    <row r="53" spans="1:48" ht="9.9499999999999993" hidden="1" customHeight="1" x14ac:dyDescent="0.4">
      <c r="A53" s="238"/>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row>
    <row r="54" spans="1:48" ht="19.5" x14ac:dyDescent="0.4">
      <c r="A54" s="238"/>
      <c r="B54" s="500" t="s">
        <v>189</v>
      </c>
      <c r="C54" s="527"/>
      <c r="D54" s="527"/>
      <c r="E54" s="527"/>
      <c r="F54" s="500" t="s">
        <v>43</v>
      </c>
      <c r="G54" s="527"/>
      <c r="H54" s="500" t="s">
        <v>70</v>
      </c>
      <c r="I54" s="527"/>
      <c r="J54" s="527"/>
      <c r="K54" s="527"/>
      <c r="L54" s="527"/>
      <c r="M54" s="527"/>
      <c r="N54" s="527"/>
      <c r="O54" s="527"/>
      <c r="P54" s="527"/>
      <c r="Q54" s="527"/>
      <c r="R54" s="238"/>
      <c r="S54" s="238"/>
      <c r="T54" s="238"/>
      <c r="U54" s="238"/>
      <c r="V54" s="238"/>
      <c r="W54" s="238"/>
      <c r="X54" s="238"/>
      <c r="Y54" s="238"/>
      <c r="Z54" s="500" t="s">
        <v>190</v>
      </c>
      <c r="AA54" s="527"/>
      <c r="AB54" s="527"/>
      <c r="AC54" s="527"/>
      <c r="AD54" s="500" t="s">
        <v>70</v>
      </c>
      <c r="AE54" s="527"/>
      <c r="AF54" s="527"/>
      <c r="AG54" s="527"/>
      <c r="AH54" s="527"/>
      <c r="AI54" s="527"/>
      <c r="AJ54" s="527"/>
      <c r="AK54" s="527"/>
      <c r="AL54" s="527"/>
      <c r="AM54" s="527"/>
      <c r="AN54" s="527"/>
      <c r="AO54" s="527"/>
      <c r="AP54" s="527"/>
      <c r="AQ54" s="527"/>
      <c r="AR54" s="527"/>
      <c r="AS54" s="527"/>
      <c r="AT54" s="527"/>
      <c r="AU54" s="527"/>
      <c r="AV54" s="238"/>
    </row>
    <row r="55" spans="1:48" ht="19.5" x14ac:dyDescent="0.4">
      <c r="A55" s="238"/>
      <c r="B55" s="767"/>
      <c r="C55" s="768"/>
      <c r="D55" s="768"/>
      <c r="E55" s="768"/>
      <c r="F55" s="500" t="str">
        <f>IF(COUNTA(B55)=1,"◎","○")</f>
        <v>○</v>
      </c>
      <c r="G55" s="527"/>
      <c r="H55" s="761" t="str">
        <f>IF(COUNTA(B55)=1,"適切に入力がされました。","申請しない場合は入力不要です。")</f>
        <v>申請しない場合は入力不要です。</v>
      </c>
      <c r="I55" s="758"/>
      <c r="J55" s="758"/>
      <c r="K55" s="758"/>
      <c r="L55" s="758"/>
      <c r="M55" s="758"/>
      <c r="N55" s="758"/>
      <c r="O55" s="758"/>
      <c r="P55" s="758"/>
      <c r="Q55" s="758"/>
      <c r="R55" s="238"/>
      <c r="S55" s="238"/>
      <c r="T55" s="238"/>
      <c r="U55" s="238"/>
      <c r="V55" s="238"/>
      <c r="W55" s="238"/>
      <c r="X55" s="238"/>
      <c r="Y55" s="238"/>
      <c r="Z55" s="500" t="str">
        <f xml:space="preserve">
IF(SUM(COUNTIF(F55,"○"),COUNTIF(AD58:AE62,"○"))=6,"○",
IF(SUM(COUNTIF(F55,"×"),COUNTIF(AD58:AE62,"×"))&gt;=1,"×",
IF(SUM(COUNTIF(F55,"◎"),COUNTIF(AD58:AE62,"◎"))&lt;&gt;6,"×",
IF(SUM(COUNTIF(F55,"◎"),COUNTIF(AD58:AE62,"◎"))=6,"◎"))))</f>
        <v>○</v>
      </c>
      <c r="AA55" s="527"/>
      <c r="AB55" s="527"/>
      <c r="AC55" s="527"/>
      <c r="AD55" s="769" t="str">
        <f xml:space="preserve">
IF(SUM(COUNTIF(F55,"○"),COUNTIF(AD58:AE62,"○"))=6,"申請しない場合は入力不要です。",
IF(SUM(COUNTIF(F55,"×"),COUNTIF(AD58:AE62,"×"))&gt;=1,"【要修正】入力不十分な箇所があります。（「×」表示の箇所を確認。）",
IF(SUM(COUNTIF(F55,"◎"),COUNTIF(AD58:AE62,"◎"))&lt;&gt;6,"【要修正】入力不十分な箇所があります。（全て「◎」であるか確認。）",
IF(SUM(COUNTIF(F55,"◎"),COUNTIF(AD58:AE62,"◎"))=6,"適切に入力がされました。"))))</f>
        <v>申請しない場合は入力不要です。</v>
      </c>
      <c r="AE55" s="770"/>
      <c r="AF55" s="770"/>
      <c r="AG55" s="770"/>
      <c r="AH55" s="770"/>
      <c r="AI55" s="770"/>
      <c r="AJ55" s="770"/>
      <c r="AK55" s="770"/>
      <c r="AL55" s="770"/>
      <c r="AM55" s="770"/>
      <c r="AN55" s="770"/>
      <c r="AO55" s="770"/>
      <c r="AP55" s="770"/>
      <c r="AQ55" s="770"/>
      <c r="AR55" s="770"/>
      <c r="AS55" s="770"/>
      <c r="AT55" s="770"/>
      <c r="AU55" s="770"/>
      <c r="AV55" s="238"/>
    </row>
    <row r="56" spans="1:48" ht="9.9499999999999993" customHeight="1" x14ac:dyDescent="0.4">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row>
    <row r="57" spans="1:48" ht="19.5" x14ac:dyDescent="0.4">
      <c r="A57" s="238"/>
      <c r="B57" s="495" t="s">
        <v>184</v>
      </c>
      <c r="C57" s="756"/>
      <c r="D57" s="756"/>
      <c r="E57" s="756"/>
      <c r="F57" s="756"/>
      <c r="G57" s="756"/>
      <c r="H57" s="756"/>
      <c r="I57" s="757"/>
      <c r="J57" s="500" t="s">
        <v>363</v>
      </c>
      <c r="K57" s="527"/>
      <c r="L57" s="527"/>
      <c r="M57" s="758"/>
      <c r="N57" s="500" t="s">
        <v>265</v>
      </c>
      <c r="O57" s="527"/>
      <c r="P57" s="527"/>
      <c r="Q57" s="758"/>
      <c r="R57" s="500" t="s">
        <v>180</v>
      </c>
      <c r="S57" s="527"/>
      <c r="T57" s="527"/>
      <c r="U57" s="758"/>
      <c r="V57" s="495" t="s">
        <v>181</v>
      </c>
      <c r="W57" s="756"/>
      <c r="X57" s="756"/>
      <c r="Y57" s="757"/>
      <c r="Z57" s="495" t="s">
        <v>188</v>
      </c>
      <c r="AA57" s="756"/>
      <c r="AB57" s="756"/>
      <c r="AC57" s="757"/>
      <c r="AD57" s="495" t="s">
        <v>43</v>
      </c>
      <c r="AE57" s="757"/>
      <c r="AF57" s="764" t="s">
        <v>70</v>
      </c>
      <c r="AG57" s="765"/>
      <c r="AH57" s="765"/>
      <c r="AI57" s="765"/>
      <c r="AJ57" s="765"/>
      <c r="AK57" s="765"/>
      <c r="AL57" s="765"/>
      <c r="AM57" s="765"/>
      <c r="AN57" s="765"/>
      <c r="AO57" s="765"/>
      <c r="AP57" s="765"/>
      <c r="AQ57" s="765"/>
      <c r="AR57" s="765"/>
      <c r="AS57" s="765"/>
      <c r="AT57" s="765"/>
      <c r="AU57" s="766"/>
      <c r="AV57" s="238"/>
    </row>
    <row r="58" spans="1:48" ht="19.5" x14ac:dyDescent="0.4">
      <c r="A58" s="238"/>
      <c r="B58" s="742" t="s">
        <v>179</v>
      </c>
      <c r="C58" s="743"/>
      <c r="D58" s="743"/>
      <c r="E58" s="743"/>
      <c r="F58" s="743"/>
      <c r="G58" s="743"/>
      <c r="H58" s="743"/>
      <c r="I58" s="744"/>
      <c r="J58" s="762"/>
      <c r="K58" s="763"/>
      <c r="L58" s="763"/>
      <c r="M58" s="763"/>
      <c r="N58" s="762"/>
      <c r="O58" s="763"/>
      <c r="P58" s="763"/>
      <c r="Q58" s="763"/>
      <c r="R58" s="748">
        <f>ROUNDDOWN(J58*N58/(100*100),2)</f>
        <v>0</v>
      </c>
      <c r="S58" s="749"/>
      <c r="T58" s="749"/>
      <c r="U58" s="749"/>
      <c r="V58" s="753" t="s">
        <v>182</v>
      </c>
      <c r="W58" s="754"/>
      <c r="X58" s="754"/>
      <c r="Y58" s="755"/>
      <c r="Z58" s="753" t="s">
        <v>182</v>
      </c>
      <c r="AA58" s="754"/>
      <c r="AB58" s="754"/>
      <c r="AC58" s="755"/>
      <c r="AD58" s="753" t="str">
        <f xml:space="preserve">
IF(COUNTA(J58:Q58)=0,"○",
IF(COUNTA(J58:Q58)=2,"◎",
IF(COUNTA(J58:Q58)=1,"×")))</f>
        <v>○</v>
      </c>
      <c r="AE58" s="755"/>
      <c r="AF58" s="742" t="str">
        <f xml:space="preserve">
IF(COUNTA(J58:Q58)=0,"申請しない場合は入力不要です。",
IF(COUNTA(J58:Q58)=2,"適切に入力がされました。",
IF(COUNTA(J58:Q58)=1,"【要修正】縦横の寸法をいずれも入力してください。")))</f>
        <v>申請しない場合は入力不要です。</v>
      </c>
      <c r="AG58" s="743"/>
      <c r="AH58" s="743"/>
      <c r="AI58" s="743"/>
      <c r="AJ58" s="743"/>
      <c r="AK58" s="743"/>
      <c r="AL58" s="743"/>
      <c r="AM58" s="743"/>
      <c r="AN58" s="743"/>
      <c r="AO58" s="743"/>
      <c r="AP58" s="743"/>
      <c r="AQ58" s="743"/>
      <c r="AR58" s="743"/>
      <c r="AS58" s="743"/>
      <c r="AT58" s="743"/>
      <c r="AU58" s="744"/>
      <c r="AV58" s="238"/>
    </row>
    <row r="59" spans="1:48" ht="19.5" x14ac:dyDescent="0.4">
      <c r="A59" s="238"/>
      <c r="B59" s="742" t="s">
        <v>183</v>
      </c>
      <c r="C59" s="743"/>
      <c r="D59" s="743"/>
      <c r="E59" s="743"/>
      <c r="F59" s="743"/>
      <c r="G59" s="743"/>
      <c r="H59" s="743"/>
      <c r="I59" s="744"/>
      <c r="J59" s="762"/>
      <c r="K59" s="763"/>
      <c r="L59" s="763"/>
      <c r="M59" s="763"/>
      <c r="N59" s="762"/>
      <c r="O59" s="763"/>
      <c r="P59" s="763"/>
      <c r="Q59" s="763"/>
      <c r="R59" s="748">
        <f>ROUNDDOWN(J59*N59/(100*100),2)</f>
        <v>0</v>
      </c>
      <c r="S59" s="749"/>
      <c r="T59" s="749"/>
      <c r="U59" s="749"/>
      <c r="V59" s="750">
        <f>IFERROR(R59/$R$58,0)</f>
        <v>0</v>
      </c>
      <c r="W59" s="751"/>
      <c r="X59" s="751"/>
      <c r="Y59" s="752"/>
      <c r="Z59" s="750">
        <v>0.15</v>
      </c>
      <c r="AA59" s="751"/>
      <c r="AB59" s="751"/>
      <c r="AC59" s="752"/>
      <c r="AD59" s="753" t="str">
        <f xml:space="preserve">
IF(COUNTA(J59:Q59)=0,"○",
IF(COUNTA(J59:Q59)=1,"×",
IF(AND(COUNTA(J59:Q59)=2,V59&gt;=Z59),"◎",
IF(AND(COUNTA(J59:Q59)=2,V59&lt;Z59),"×"))))</f>
        <v>○</v>
      </c>
      <c r="AE59" s="755"/>
      <c r="AF59" s="742" t="str">
        <f xml:space="preserve">
IF(COUNTA(J59:Q59)=0,"申請しない場合は入力不要です。",
IF(COUNTA(J59:Q59)=1,"【要修正】縦横の寸法をいずれも入力してください。",
IF(AND(COUNTA(J59:Q59)=2,V59&gt;=Z59),"適切に入力がされました。",
IF(AND(COUNTA(J59:Q59)=2,V59&lt;Z59),"【要修正】「発熱外来の明示部分」の専有割合が必要割合を下回っています。"))))</f>
        <v>申請しない場合は入力不要です。</v>
      </c>
      <c r="AG59" s="743"/>
      <c r="AH59" s="743"/>
      <c r="AI59" s="743"/>
      <c r="AJ59" s="743"/>
      <c r="AK59" s="743"/>
      <c r="AL59" s="743"/>
      <c r="AM59" s="743"/>
      <c r="AN59" s="743"/>
      <c r="AO59" s="743"/>
      <c r="AP59" s="743"/>
      <c r="AQ59" s="743"/>
      <c r="AR59" s="743"/>
      <c r="AS59" s="743"/>
      <c r="AT59" s="743"/>
      <c r="AU59" s="744"/>
      <c r="AV59" s="238"/>
    </row>
    <row r="60" spans="1:48" ht="19.5" x14ac:dyDescent="0.4">
      <c r="A60" s="238"/>
      <c r="B60" s="742" t="s">
        <v>383</v>
      </c>
      <c r="C60" s="743"/>
      <c r="D60" s="743"/>
      <c r="E60" s="743"/>
      <c r="F60" s="743"/>
      <c r="G60" s="743"/>
      <c r="H60" s="743"/>
      <c r="I60" s="744"/>
      <c r="J60" s="762"/>
      <c r="K60" s="763"/>
      <c r="L60" s="763"/>
      <c r="M60" s="763"/>
      <c r="N60" s="762"/>
      <c r="O60" s="763"/>
      <c r="P60" s="763"/>
      <c r="Q60" s="763"/>
      <c r="R60" s="748">
        <f t="shared" ref="R60:R61" si="6">ROUNDDOWN(J60*N60/(100*100),2)</f>
        <v>0</v>
      </c>
      <c r="S60" s="749"/>
      <c r="T60" s="749"/>
      <c r="U60" s="749"/>
      <c r="V60" s="750">
        <f t="shared" ref="V60:V61" si="7">IFERROR(R60/$R$58,0)</f>
        <v>0</v>
      </c>
      <c r="W60" s="751"/>
      <c r="X60" s="751"/>
      <c r="Y60" s="752"/>
      <c r="Z60" s="750">
        <v>0.15</v>
      </c>
      <c r="AA60" s="751"/>
      <c r="AB60" s="751"/>
      <c r="AC60" s="752"/>
      <c r="AD60" s="753" t="str">
        <f t="shared" ref="AD60:AD61" si="8" xml:space="preserve">
IF(COUNTA(J60:Q60)=0,"○",
IF(COUNTA(J60:Q60)=1,"×",
IF(AND(COUNTA(J60:Q60)=2,V60&gt;=Z60),"◎",
IF(AND(COUNTA(J60:Q60)=2,V60&lt;Z60),"×"))))</f>
        <v>○</v>
      </c>
      <c r="AE60" s="755"/>
      <c r="AF60" s="742" t="str">
        <f xml:space="preserve">
IF(COUNTA(J60:Q60)=0,"申請しない場合は入力不要です。",
IF(COUNTA(J60:Q60)=1,"【要修正】縦横の寸法をいずれも入力してください。",
IF(AND(COUNTA(J60:Q60)=2,V60&gt;=Z60),"適切に入力がされました。",
IF(AND(COUNTA(J60:Q60)=2,V60&lt;Z60),"【要修正】「医療機関情報」の専有割合が必要割合を下回っています。"))))</f>
        <v>申請しない場合は入力不要です。</v>
      </c>
      <c r="AG60" s="743"/>
      <c r="AH60" s="743"/>
      <c r="AI60" s="743"/>
      <c r="AJ60" s="743"/>
      <c r="AK60" s="743"/>
      <c r="AL60" s="743"/>
      <c r="AM60" s="743"/>
      <c r="AN60" s="743"/>
      <c r="AO60" s="743"/>
      <c r="AP60" s="743"/>
      <c r="AQ60" s="743"/>
      <c r="AR60" s="743"/>
      <c r="AS60" s="743"/>
      <c r="AT60" s="743"/>
      <c r="AU60" s="744"/>
      <c r="AV60" s="238"/>
    </row>
    <row r="61" spans="1:48" ht="19.5" x14ac:dyDescent="0.4">
      <c r="A61" s="238"/>
      <c r="B61" s="742" t="s">
        <v>384</v>
      </c>
      <c r="C61" s="743"/>
      <c r="D61" s="743"/>
      <c r="E61" s="743"/>
      <c r="F61" s="743"/>
      <c r="G61" s="743"/>
      <c r="H61" s="743"/>
      <c r="I61" s="744"/>
      <c r="J61" s="762"/>
      <c r="K61" s="763"/>
      <c r="L61" s="763"/>
      <c r="M61" s="763"/>
      <c r="N61" s="762"/>
      <c r="O61" s="763"/>
      <c r="P61" s="763"/>
      <c r="Q61" s="763"/>
      <c r="R61" s="748">
        <f t="shared" si="6"/>
        <v>0</v>
      </c>
      <c r="S61" s="749"/>
      <c r="T61" s="749"/>
      <c r="U61" s="749"/>
      <c r="V61" s="750">
        <f t="shared" si="7"/>
        <v>0</v>
      </c>
      <c r="W61" s="751"/>
      <c r="X61" s="751"/>
      <c r="Y61" s="752"/>
      <c r="Z61" s="750">
        <v>0.3</v>
      </c>
      <c r="AA61" s="751"/>
      <c r="AB61" s="751"/>
      <c r="AC61" s="752"/>
      <c r="AD61" s="753" t="str">
        <f t="shared" si="8"/>
        <v>○</v>
      </c>
      <c r="AE61" s="755"/>
      <c r="AF61" s="742" t="str">
        <f xml:space="preserve">
IF(COUNTA(J61:Q61)=0,"申請しない場合は入力不要です。",
IF(COUNTA(J61:Q61)=1,"【要修正】縦横の寸法をいずれも入力してください。",
IF(AND(COUNTA(J61:Q61)=2,V61&gt;=Z61),"適切に入力がされました。",
IF(AND(COUNTA(J61:Q61)=2,V61&lt;Z61),"【要修正】「案内図」の専有割合が必要割合を下回っています。"))))</f>
        <v>申請しない場合は入力不要です。</v>
      </c>
      <c r="AG61" s="743"/>
      <c r="AH61" s="743"/>
      <c r="AI61" s="743"/>
      <c r="AJ61" s="743"/>
      <c r="AK61" s="743"/>
      <c r="AL61" s="743"/>
      <c r="AM61" s="743"/>
      <c r="AN61" s="743"/>
      <c r="AO61" s="743"/>
      <c r="AP61" s="743"/>
      <c r="AQ61" s="743"/>
      <c r="AR61" s="743"/>
      <c r="AS61" s="743"/>
      <c r="AT61" s="743"/>
      <c r="AU61" s="744"/>
      <c r="AV61" s="238"/>
    </row>
    <row r="62" spans="1:48" ht="19.5" x14ac:dyDescent="0.4">
      <c r="A62" s="238"/>
      <c r="B62" s="742" t="s">
        <v>106</v>
      </c>
      <c r="C62" s="743"/>
      <c r="D62" s="743"/>
      <c r="E62" s="743"/>
      <c r="F62" s="743"/>
      <c r="G62" s="743"/>
      <c r="H62" s="743"/>
      <c r="I62" s="744"/>
      <c r="J62" s="745" t="s">
        <v>182</v>
      </c>
      <c r="K62" s="746"/>
      <c r="L62" s="746"/>
      <c r="M62" s="747"/>
      <c r="N62" s="745" t="s">
        <v>182</v>
      </c>
      <c r="O62" s="746"/>
      <c r="P62" s="746"/>
      <c r="Q62" s="747"/>
      <c r="R62" s="748">
        <f>R58-SUM(R59:U61)</f>
        <v>0</v>
      </c>
      <c r="S62" s="749"/>
      <c r="T62" s="749"/>
      <c r="U62" s="749"/>
      <c r="V62" s="750">
        <f>IFERROR(R62/$R$58,0)</f>
        <v>0</v>
      </c>
      <c r="W62" s="751"/>
      <c r="X62" s="751"/>
      <c r="Y62" s="752"/>
      <c r="Z62" s="753" t="s">
        <v>182</v>
      </c>
      <c r="AA62" s="754"/>
      <c r="AB62" s="754"/>
      <c r="AC62" s="755"/>
      <c r="AD62" s="753" t="str">
        <f xml:space="preserve">
IF(COUNTIF(AD58:AE61,"○")=4,"○",
IF(COUNTIF(AD58:AE61,"×")&gt;=1,"×",
IF(AND(COUNTIF(AD58:AE61,"◎")=4,R62&lt;0),"×",
IF(AND(COUNTIF(AD58:AE61,"◎")=4,R62&gt;=0),"◎",
IF(AND(COUNTIF(AD58:AE61,"◎")&lt;&gt;4,R62&lt;0),"×",
IF(AND(COUNTIF(AD58:AE61,"◎")&lt;&gt;4,R62&gt;=0),"×"
))))))</f>
        <v>○</v>
      </c>
      <c r="AE62" s="755"/>
      <c r="AF62" s="742" t="str">
        <f xml:space="preserve">
IF(COUNTIF(AD58:AE61,"○")=4,"申請しない場合は入力不要です。",
IF(COUNTIF(AD58:AE61,"×")&gt;=1,"【要修正】入力不十分の箇所があります。",
IF(AND(COUNTIF(AD58:AE61,"◎")=4,R62&lt;0),"【要修正】各部分の面積の和が総面積を上回っています。",
IF(AND(COUNTIF(AD58:AE61,"◎")=4,R62&gt;=0),"適切に入力がされました。",
IF(AND(COUNTIF(AD58:AE61,"◎")&lt;&gt;4,R62&lt;0),"【要修正】入力不十分かつ各部分の面積の和が総面積を上回っています。",
IF(AND(COUNTIF(AD58:AE61,"◎")&lt;&gt;4,R62&gt;=0),"【要修正】入力不十分な箇所があります。"
))))))</f>
        <v>申請しない場合は入力不要です。</v>
      </c>
      <c r="AG62" s="743"/>
      <c r="AH62" s="743"/>
      <c r="AI62" s="743"/>
      <c r="AJ62" s="743"/>
      <c r="AK62" s="743"/>
      <c r="AL62" s="743"/>
      <c r="AM62" s="743"/>
      <c r="AN62" s="743"/>
      <c r="AO62" s="743"/>
      <c r="AP62" s="743"/>
      <c r="AQ62" s="743"/>
      <c r="AR62" s="743"/>
      <c r="AS62" s="743"/>
      <c r="AT62" s="743"/>
      <c r="AU62" s="744"/>
      <c r="AV62" s="238"/>
    </row>
    <row r="63" spans="1:48" ht="19.5" x14ac:dyDescent="0.4">
      <c r="A63" s="238"/>
      <c r="B63" s="251"/>
      <c r="C63" s="252"/>
      <c r="D63" s="252"/>
      <c r="E63" s="252"/>
      <c r="F63" s="252"/>
      <c r="G63" s="252"/>
      <c r="H63" s="252"/>
      <c r="I63" s="252"/>
      <c r="J63" s="253"/>
      <c r="K63" s="254"/>
      <c r="L63" s="254"/>
      <c r="M63" s="255"/>
      <c r="N63" s="253"/>
      <c r="O63" s="254"/>
      <c r="P63" s="254"/>
      <c r="Q63" s="255"/>
      <c r="R63" s="256"/>
      <c r="S63" s="257"/>
      <c r="T63" s="257"/>
      <c r="U63" s="257"/>
      <c r="V63" s="258"/>
      <c r="W63" s="259"/>
      <c r="X63" s="259"/>
      <c r="Y63" s="259"/>
      <c r="Z63" s="260"/>
      <c r="AA63" s="255"/>
      <c r="AB63" s="255"/>
      <c r="AC63" s="255"/>
      <c r="AD63" s="260"/>
      <c r="AE63" s="255"/>
      <c r="AF63" s="251"/>
      <c r="AG63" s="252"/>
      <c r="AH63" s="252"/>
      <c r="AI63" s="252"/>
      <c r="AJ63" s="252"/>
      <c r="AK63" s="252"/>
      <c r="AL63" s="252"/>
      <c r="AM63" s="252"/>
      <c r="AN63" s="252"/>
      <c r="AO63" s="252"/>
      <c r="AP63" s="252"/>
      <c r="AQ63" s="252"/>
      <c r="AR63" s="252"/>
      <c r="AS63" s="252"/>
      <c r="AT63" s="252"/>
      <c r="AU63" s="252"/>
      <c r="AV63" s="238"/>
    </row>
    <row r="64" spans="1:48" ht="19.5" x14ac:dyDescent="0.4">
      <c r="A64" s="238"/>
      <c r="B64" s="498" t="str">
        <f>"ウ．敷地内看板の場合　【総合判定】"&amp;Z67&amp;"："&amp;AD67</f>
        <v>ウ．敷地内看板の場合　【総合判定】○：申請しない場合は入力不要です。</v>
      </c>
      <c r="C64" s="738"/>
      <c r="D64" s="738"/>
      <c r="E64" s="738"/>
      <c r="F64" s="738"/>
      <c r="G64" s="738"/>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c r="AM64" s="738"/>
      <c r="AN64" s="738"/>
      <c r="AO64" s="738"/>
      <c r="AP64" s="738"/>
      <c r="AQ64" s="738"/>
      <c r="AR64" s="738"/>
      <c r="AS64" s="738"/>
      <c r="AT64" s="738"/>
      <c r="AU64" s="738"/>
      <c r="AV64" s="238"/>
    </row>
    <row r="65" spans="1:51" ht="19.5" hidden="1" x14ac:dyDescent="0.4">
      <c r="A65" s="238"/>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row>
    <row r="66" spans="1:51" ht="19.5" x14ac:dyDescent="0.4">
      <c r="A66" s="238"/>
      <c r="B66" s="500" t="s">
        <v>189</v>
      </c>
      <c r="C66" s="527"/>
      <c r="D66" s="527"/>
      <c r="E66" s="527"/>
      <c r="F66" s="500" t="s">
        <v>43</v>
      </c>
      <c r="G66" s="527"/>
      <c r="H66" s="500" t="s">
        <v>70</v>
      </c>
      <c r="I66" s="527"/>
      <c r="J66" s="527"/>
      <c r="K66" s="527"/>
      <c r="L66" s="527"/>
      <c r="M66" s="527"/>
      <c r="N66" s="527"/>
      <c r="O66" s="527"/>
      <c r="P66" s="527"/>
      <c r="Q66" s="527"/>
      <c r="R66" s="238"/>
      <c r="S66" s="238"/>
      <c r="T66" s="238"/>
      <c r="U66" s="238"/>
      <c r="V66" s="238"/>
      <c r="W66" s="238"/>
      <c r="X66" s="238"/>
      <c r="Y66" s="238"/>
      <c r="Z66" s="500" t="s">
        <v>190</v>
      </c>
      <c r="AA66" s="527"/>
      <c r="AB66" s="527"/>
      <c r="AC66" s="527"/>
      <c r="AD66" s="500" t="s">
        <v>70</v>
      </c>
      <c r="AE66" s="527"/>
      <c r="AF66" s="527"/>
      <c r="AG66" s="527"/>
      <c r="AH66" s="527"/>
      <c r="AI66" s="527"/>
      <c r="AJ66" s="527"/>
      <c r="AK66" s="527"/>
      <c r="AL66" s="527"/>
      <c r="AM66" s="527"/>
      <c r="AN66" s="527"/>
      <c r="AO66" s="527"/>
      <c r="AP66" s="527"/>
      <c r="AQ66" s="527"/>
      <c r="AR66" s="527"/>
      <c r="AS66" s="527"/>
      <c r="AT66" s="527"/>
      <c r="AU66" s="527"/>
      <c r="AV66" s="238"/>
    </row>
    <row r="67" spans="1:51" ht="19.5" x14ac:dyDescent="0.4">
      <c r="A67" s="238"/>
      <c r="B67" s="767"/>
      <c r="C67" s="768"/>
      <c r="D67" s="768"/>
      <c r="E67" s="768"/>
      <c r="F67" s="500" t="str">
        <f>IF(COUNTA(B67)=1,"◎","○")</f>
        <v>○</v>
      </c>
      <c r="G67" s="527"/>
      <c r="H67" s="761" t="str">
        <f>IF(COUNTA(B67)=1,"適切に入力がされました。","申請しない場合は入力不要です。")</f>
        <v>申請しない場合は入力不要です。</v>
      </c>
      <c r="I67" s="758"/>
      <c r="J67" s="758"/>
      <c r="K67" s="758"/>
      <c r="L67" s="758"/>
      <c r="M67" s="758"/>
      <c r="N67" s="758"/>
      <c r="O67" s="758"/>
      <c r="P67" s="758"/>
      <c r="Q67" s="758"/>
      <c r="R67" s="238"/>
      <c r="S67" s="238"/>
      <c r="T67" s="238"/>
      <c r="U67" s="238"/>
      <c r="V67" s="238"/>
      <c r="W67" s="238"/>
      <c r="X67" s="238"/>
      <c r="Y67" s="238"/>
      <c r="Z67" s="500" t="str">
        <f xml:space="preserve">
IF(SUM(COUNTIF(F67,"○"),COUNTIF(AD70:AE74,"○"))=6,"○",
IF(SUM(COUNTIF(F67,"×"),COUNTIF(AD70:AE74,"×"))&gt;=1,"×",
IF(SUM(COUNTIF(F67,"◎"),COUNTIF(AD70:AE74,"◎"))&lt;&gt;6,"×",
IF(SUM(COUNTIF(F67,"◎"),COUNTIF(AD70:AE74,"◎"))=6,"◎"))))</f>
        <v>○</v>
      </c>
      <c r="AA67" s="527"/>
      <c r="AB67" s="527"/>
      <c r="AC67" s="527"/>
      <c r="AD67" s="769" t="str">
        <f xml:space="preserve">
IF(SUM(COUNTIF(F67,"○"),COUNTIF(AD70:AE74,"○"))=6,"申請しない場合は入力不要です。",
IF(SUM(COUNTIF(F67,"×"),COUNTIF(AD70:AE74,"×"))&gt;=1,"【要修正】入力不十分な箇所があります。（「×」表示の箇所を確認。）",
IF(SUM(COUNTIF(F67,"◎"),COUNTIF(AD70:AE74,"◎"))&lt;&gt;6,"【要修正】入力不十分な箇所があります。（全て「◎」であるか確認。）",
IF(SUM(COUNTIF(F67,"◎"),COUNTIF(AD70:AE74,"◎"))=6,"適切に入力がされました。"))))</f>
        <v>申請しない場合は入力不要です。</v>
      </c>
      <c r="AE67" s="770"/>
      <c r="AF67" s="770"/>
      <c r="AG67" s="770"/>
      <c r="AH67" s="770"/>
      <c r="AI67" s="770"/>
      <c r="AJ67" s="770"/>
      <c r="AK67" s="770"/>
      <c r="AL67" s="770"/>
      <c r="AM67" s="770"/>
      <c r="AN67" s="770"/>
      <c r="AO67" s="770"/>
      <c r="AP67" s="770"/>
      <c r="AQ67" s="770"/>
      <c r="AR67" s="770"/>
      <c r="AS67" s="770"/>
      <c r="AT67" s="770"/>
      <c r="AU67" s="770"/>
      <c r="AV67" s="238"/>
    </row>
    <row r="68" spans="1:51" ht="11.65" customHeight="1" x14ac:dyDescent="0.4">
      <c r="A68" s="238"/>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c r="AR68" s="238"/>
      <c r="AS68" s="238"/>
      <c r="AT68" s="238"/>
      <c r="AU68" s="238"/>
      <c r="AV68" s="238"/>
    </row>
    <row r="69" spans="1:51" ht="19.5" x14ac:dyDescent="0.4">
      <c r="A69" s="238"/>
      <c r="B69" s="495" t="s">
        <v>184</v>
      </c>
      <c r="C69" s="756"/>
      <c r="D69" s="756"/>
      <c r="E69" s="756"/>
      <c r="F69" s="756"/>
      <c r="G69" s="756"/>
      <c r="H69" s="756"/>
      <c r="I69" s="757"/>
      <c r="J69" s="500" t="s">
        <v>363</v>
      </c>
      <c r="K69" s="527"/>
      <c r="L69" s="527"/>
      <c r="M69" s="758"/>
      <c r="N69" s="500" t="s">
        <v>265</v>
      </c>
      <c r="O69" s="527"/>
      <c r="P69" s="527"/>
      <c r="Q69" s="758"/>
      <c r="R69" s="500" t="s">
        <v>180</v>
      </c>
      <c r="S69" s="527"/>
      <c r="T69" s="527"/>
      <c r="U69" s="758"/>
      <c r="V69" s="495" t="s">
        <v>181</v>
      </c>
      <c r="W69" s="756"/>
      <c r="X69" s="756"/>
      <c r="Y69" s="757"/>
      <c r="Z69" s="495" t="s">
        <v>188</v>
      </c>
      <c r="AA69" s="756"/>
      <c r="AB69" s="756"/>
      <c r="AC69" s="757"/>
      <c r="AD69" s="495" t="s">
        <v>43</v>
      </c>
      <c r="AE69" s="757"/>
      <c r="AF69" s="764" t="s">
        <v>70</v>
      </c>
      <c r="AG69" s="765"/>
      <c r="AH69" s="765"/>
      <c r="AI69" s="765"/>
      <c r="AJ69" s="765"/>
      <c r="AK69" s="765"/>
      <c r="AL69" s="765"/>
      <c r="AM69" s="765"/>
      <c r="AN69" s="765"/>
      <c r="AO69" s="765"/>
      <c r="AP69" s="765"/>
      <c r="AQ69" s="765"/>
      <c r="AR69" s="765"/>
      <c r="AS69" s="765"/>
      <c r="AT69" s="765"/>
      <c r="AU69" s="766"/>
      <c r="AV69" s="238"/>
    </row>
    <row r="70" spans="1:51" ht="19.5" x14ac:dyDescent="0.4">
      <c r="A70" s="238"/>
      <c r="B70" s="742" t="s">
        <v>179</v>
      </c>
      <c r="C70" s="743"/>
      <c r="D70" s="743"/>
      <c r="E70" s="743"/>
      <c r="F70" s="743"/>
      <c r="G70" s="743"/>
      <c r="H70" s="743"/>
      <c r="I70" s="744"/>
      <c r="J70" s="762"/>
      <c r="K70" s="763"/>
      <c r="L70" s="763"/>
      <c r="M70" s="763"/>
      <c r="N70" s="762"/>
      <c r="O70" s="763"/>
      <c r="P70" s="763"/>
      <c r="Q70" s="763"/>
      <c r="R70" s="748">
        <f>ROUNDDOWN(J70*N70/(100*100),2)</f>
        <v>0</v>
      </c>
      <c r="S70" s="749"/>
      <c r="T70" s="749"/>
      <c r="U70" s="749"/>
      <c r="V70" s="753" t="s">
        <v>182</v>
      </c>
      <c r="W70" s="754"/>
      <c r="X70" s="754"/>
      <c r="Y70" s="755"/>
      <c r="Z70" s="753" t="s">
        <v>182</v>
      </c>
      <c r="AA70" s="754"/>
      <c r="AB70" s="754"/>
      <c r="AC70" s="755"/>
      <c r="AD70" s="753" t="str">
        <f xml:space="preserve">
IF(COUNTA(J70:Q70)=0,"○",
IF(COUNTA(J70:Q70)=2,"◎",
IF(COUNTA(J70:Q70)=1,"×")))</f>
        <v>○</v>
      </c>
      <c r="AE70" s="755"/>
      <c r="AF70" s="742" t="str">
        <f xml:space="preserve">
IF(COUNTA(J70:Q70)=0,"申請しない場合は入力不要です。",
IF(COUNTA(J70:Q70)=2,"適切に入力がされました。",
IF(COUNTA(J70:Q70)=1,"【要修正】縦横の寸法をいずれも入力してください。")))</f>
        <v>申請しない場合は入力不要です。</v>
      </c>
      <c r="AG70" s="743"/>
      <c r="AH70" s="743"/>
      <c r="AI70" s="743"/>
      <c r="AJ70" s="743"/>
      <c r="AK70" s="743"/>
      <c r="AL70" s="743"/>
      <c r="AM70" s="743"/>
      <c r="AN70" s="743"/>
      <c r="AO70" s="743"/>
      <c r="AP70" s="743"/>
      <c r="AQ70" s="743"/>
      <c r="AR70" s="743"/>
      <c r="AS70" s="743"/>
      <c r="AT70" s="743"/>
      <c r="AU70" s="744"/>
      <c r="AV70" s="238"/>
    </row>
    <row r="71" spans="1:51" ht="19.5" x14ac:dyDescent="0.4">
      <c r="A71" s="238"/>
      <c r="B71" s="742" t="s">
        <v>183</v>
      </c>
      <c r="C71" s="743"/>
      <c r="D71" s="743"/>
      <c r="E71" s="743"/>
      <c r="F71" s="743"/>
      <c r="G71" s="743"/>
      <c r="H71" s="743"/>
      <c r="I71" s="744"/>
      <c r="J71" s="762"/>
      <c r="K71" s="763"/>
      <c r="L71" s="763"/>
      <c r="M71" s="763"/>
      <c r="N71" s="762"/>
      <c r="O71" s="763"/>
      <c r="P71" s="763"/>
      <c r="Q71" s="763"/>
      <c r="R71" s="748">
        <f>ROUNDDOWN(J71*N71/(100*100),2)</f>
        <v>0</v>
      </c>
      <c r="S71" s="749"/>
      <c r="T71" s="749"/>
      <c r="U71" s="749"/>
      <c r="V71" s="750">
        <f>IFERROR(R71/$R$70,0)</f>
        <v>0</v>
      </c>
      <c r="W71" s="751"/>
      <c r="X71" s="751"/>
      <c r="Y71" s="752"/>
      <c r="Z71" s="750">
        <v>0.15</v>
      </c>
      <c r="AA71" s="751"/>
      <c r="AB71" s="751"/>
      <c r="AC71" s="752"/>
      <c r="AD71" s="753" t="str">
        <f xml:space="preserve">
IF(COUNTA(J71:Q71)=0,"○",
IF(COUNTA(J71:Q71)=1,"×",
IF(AND(COUNTA(J71:Q71)=2,V71&gt;=Z71),"◎",
IF(AND(COUNTA(J71:Q71)=2,V71&lt;Z71),"×"))))</f>
        <v>○</v>
      </c>
      <c r="AE71" s="755"/>
      <c r="AF71" s="742" t="str">
        <f xml:space="preserve">
IF(COUNTA(J71:Q71)=0,"申請しない場合は入力不要です。",
IF(COUNTA(J71:Q71)=1,"【要修正】縦横の寸法をいずれも入力してください。",
IF(AND(COUNTA(J71:Q71)=2,V71&gt;=Z71),"適切に入力がされました。",
IF(AND(COUNTA(J71:Q71)=2,V71&lt;Z71),"【要修正】「発熱外来の明示部分」の専有割合が必要割合を下回っています。"))))</f>
        <v>申請しない場合は入力不要です。</v>
      </c>
      <c r="AG71" s="743"/>
      <c r="AH71" s="743"/>
      <c r="AI71" s="743"/>
      <c r="AJ71" s="743"/>
      <c r="AK71" s="743"/>
      <c r="AL71" s="743"/>
      <c r="AM71" s="743"/>
      <c r="AN71" s="743"/>
      <c r="AO71" s="743"/>
      <c r="AP71" s="743"/>
      <c r="AQ71" s="743"/>
      <c r="AR71" s="743"/>
      <c r="AS71" s="743"/>
      <c r="AT71" s="743"/>
      <c r="AU71" s="744"/>
      <c r="AV71" s="238"/>
    </row>
    <row r="72" spans="1:51" ht="19.5" x14ac:dyDescent="0.4">
      <c r="A72" s="238"/>
      <c r="B72" s="742" t="s">
        <v>187</v>
      </c>
      <c r="C72" s="743"/>
      <c r="D72" s="743"/>
      <c r="E72" s="743"/>
      <c r="F72" s="743"/>
      <c r="G72" s="743"/>
      <c r="H72" s="743"/>
      <c r="I72" s="744"/>
      <c r="J72" s="762"/>
      <c r="K72" s="763"/>
      <c r="L72" s="763"/>
      <c r="M72" s="763"/>
      <c r="N72" s="762"/>
      <c r="O72" s="763"/>
      <c r="P72" s="763"/>
      <c r="Q72" s="763"/>
      <c r="R72" s="748">
        <f t="shared" ref="R72:R73" si="9">ROUNDDOWN(J72*N72/(100*100),2)</f>
        <v>0</v>
      </c>
      <c r="S72" s="749"/>
      <c r="T72" s="749"/>
      <c r="U72" s="749"/>
      <c r="V72" s="750">
        <f t="shared" ref="V72:V74" si="10">IFERROR(R72/$R$70,0)</f>
        <v>0</v>
      </c>
      <c r="W72" s="751"/>
      <c r="X72" s="751"/>
      <c r="Y72" s="752"/>
      <c r="Z72" s="750">
        <v>0.3</v>
      </c>
      <c r="AA72" s="751"/>
      <c r="AB72" s="751"/>
      <c r="AC72" s="752"/>
      <c r="AD72" s="753" t="str">
        <f t="shared" ref="AD72:AD73" si="11" xml:space="preserve">
IF(COUNTA(J72:Q72)=0,"○",
IF(COUNTA(J72:Q72)=1,"×",
IF(AND(COUNTA(J72:Q72)=2,V72&gt;=Z72),"◎",
IF(AND(COUNTA(J72:Q72)=2,V72&lt;Z72),"×"))))</f>
        <v>○</v>
      </c>
      <c r="AE72" s="755"/>
      <c r="AF72" s="742" t="str">
        <f xml:space="preserve">
IF(COUNTA(J72:Q72)=0,"申請しない場合は入力不要です。",
IF(COUNTA(J72:Q72)=1,"【要修正】縦横の寸法をいずれも入力してください。",
IF(AND(COUNTA(J72:Q72)=2,V72&gt;=Z72),"適切に入力がされました。",
IF(AND(COUNTA(J72:Q72)=2,V72&lt;Z72),"【要修正】「医療機関情報」の専有割合が必要割合を下回っています。"))))</f>
        <v>申請しない場合は入力不要です。</v>
      </c>
      <c r="AG72" s="743"/>
      <c r="AH72" s="743"/>
      <c r="AI72" s="743"/>
      <c r="AJ72" s="743"/>
      <c r="AK72" s="743"/>
      <c r="AL72" s="743"/>
      <c r="AM72" s="743"/>
      <c r="AN72" s="743"/>
      <c r="AO72" s="743"/>
      <c r="AP72" s="743"/>
      <c r="AQ72" s="743"/>
      <c r="AR72" s="743"/>
      <c r="AS72" s="743"/>
      <c r="AT72" s="743"/>
      <c r="AU72" s="744"/>
      <c r="AV72" s="238"/>
    </row>
    <row r="73" spans="1:51" ht="19.5" x14ac:dyDescent="0.4">
      <c r="A73" s="238"/>
      <c r="B73" s="742" t="s">
        <v>186</v>
      </c>
      <c r="C73" s="743"/>
      <c r="D73" s="743"/>
      <c r="E73" s="743"/>
      <c r="F73" s="743"/>
      <c r="G73" s="743"/>
      <c r="H73" s="743"/>
      <c r="I73" s="744"/>
      <c r="J73" s="762"/>
      <c r="K73" s="763"/>
      <c r="L73" s="763"/>
      <c r="M73" s="763"/>
      <c r="N73" s="762"/>
      <c r="O73" s="763"/>
      <c r="P73" s="763"/>
      <c r="Q73" s="763"/>
      <c r="R73" s="748">
        <f t="shared" si="9"/>
        <v>0</v>
      </c>
      <c r="S73" s="749"/>
      <c r="T73" s="749"/>
      <c r="U73" s="749"/>
      <c r="V73" s="750">
        <f t="shared" si="10"/>
        <v>0</v>
      </c>
      <c r="W73" s="751"/>
      <c r="X73" s="751"/>
      <c r="Y73" s="752"/>
      <c r="Z73" s="750">
        <v>0.3</v>
      </c>
      <c r="AA73" s="751"/>
      <c r="AB73" s="751"/>
      <c r="AC73" s="752"/>
      <c r="AD73" s="753" t="str">
        <f t="shared" si="11"/>
        <v>○</v>
      </c>
      <c r="AE73" s="755"/>
      <c r="AF73" s="742" t="str">
        <f xml:space="preserve">
IF(COUNTA(J73:Q73)=0,"申請しない場合は入力不要です。",
IF(COUNTA(J73:Q73)=1,"【要修正】縦横の寸法をいずれも入力してください。",
IF(AND(COUNTA(J73:Q73)=2,V73&gt;=Z73),"適切に入力がされました。",
IF(AND(COUNTA(J73:Q73)=2,V73&lt;Z73),"【要修正】「対応時間」の専有割合が必要割合を下回っています。"))))</f>
        <v>申請しない場合は入力不要です。</v>
      </c>
      <c r="AG73" s="743"/>
      <c r="AH73" s="743"/>
      <c r="AI73" s="743"/>
      <c r="AJ73" s="743"/>
      <c r="AK73" s="743"/>
      <c r="AL73" s="743"/>
      <c r="AM73" s="743"/>
      <c r="AN73" s="743"/>
      <c r="AO73" s="743"/>
      <c r="AP73" s="743"/>
      <c r="AQ73" s="743"/>
      <c r="AR73" s="743"/>
      <c r="AS73" s="743"/>
      <c r="AT73" s="743"/>
      <c r="AU73" s="744"/>
      <c r="AV73" s="238"/>
    </row>
    <row r="74" spans="1:51" ht="19.5" x14ac:dyDescent="0.4">
      <c r="A74" s="238"/>
      <c r="B74" s="742" t="s">
        <v>106</v>
      </c>
      <c r="C74" s="743"/>
      <c r="D74" s="743"/>
      <c r="E74" s="743"/>
      <c r="F74" s="743"/>
      <c r="G74" s="743"/>
      <c r="H74" s="743"/>
      <c r="I74" s="744"/>
      <c r="J74" s="745" t="s">
        <v>182</v>
      </c>
      <c r="K74" s="746"/>
      <c r="L74" s="746"/>
      <c r="M74" s="747"/>
      <c r="N74" s="745" t="s">
        <v>182</v>
      </c>
      <c r="O74" s="746"/>
      <c r="P74" s="746"/>
      <c r="Q74" s="747"/>
      <c r="R74" s="748">
        <f>R70-SUM(R71:U73)</f>
        <v>0</v>
      </c>
      <c r="S74" s="749"/>
      <c r="T74" s="749"/>
      <c r="U74" s="749"/>
      <c r="V74" s="750">
        <f t="shared" si="10"/>
        <v>0</v>
      </c>
      <c r="W74" s="751"/>
      <c r="X74" s="751"/>
      <c r="Y74" s="752"/>
      <c r="Z74" s="753" t="s">
        <v>182</v>
      </c>
      <c r="AA74" s="754"/>
      <c r="AB74" s="754"/>
      <c r="AC74" s="755"/>
      <c r="AD74" s="753" t="str">
        <f xml:space="preserve">
IF(COUNTIF(AD70:AE73,"○")=4,"○",
IF(COUNTIF(AD70:AE73,"×")&gt;=1,"×",
IF(AND(COUNTIF(AD70:AE73,"◎")=4,R74&lt;0),"×",
IF(AND(COUNTIF(AD70:AE73,"◎")=4,R74&gt;=0),"◎",
IF(AND(COUNTIF(AD70:AE73,"◎")&lt;&gt;4,R74&lt;0),"×",
IF(AND(COUNTIF(AD70:AE73,"◎")&lt;&gt;4,R74&gt;=0),"×"
))))))</f>
        <v>○</v>
      </c>
      <c r="AE74" s="755"/>
      <c r="AF74" s="742" t="str">
        <f xml:space="preserve">
IF(COUNTIF(AD70:AE73,"○")=4,"申請しない場合は入力不要です。",
IF(COUNTIF(AD70:AE73,"×")&gt;=1,"【要修正】入力不十分の箇所があります。",
IF(AND(COUNTIF(AD70:AE73,"◎")=4,R74&lt;0),"【要修正】各部分の面積の和が総面積を上回っています。",
IF(AND(COUNTIF(AD70:AE73,"◎")=4,R74&gt;=0),"適切に入力がされました。",
IF(AND(COUNTIF(AD70:AE73,"◎")&lt;&gt;4,R74&lt;0),"【要修正】入力不十分かつ各部分の面積の和が総面積を上回っています。",
IF(AND(COUNTIF(AD70:AE73,"◎")&lt;&gt;4,R74&gt;=0),"【要修正】入力不十分な箇所があります。"
))))))</f>
        <v>申請しない場合は入力不要です。</v>
      </c>
      <c r="AG74" s="743"/>
      <c r="AH74" s="743"/>
      <c r="AI74" s="743"/>
      <c r="AJ74" s="743"/>
      <c r="AK74" s="743"/>
      <c r="AL74" s="743"/>
      <c r="AM74" s="743"/>
      <c r="AN74" s="743"/>
      <c r="AO74" s="743"/>
      <c r="AP74" s="743"/>
      <c r="AQ74" s="743"/>
      <c r="AR74" s="743"/>
      <c r="AS74" s="743"/>
      <c r="AT74" s="743"/>
      <c r="AU74" s="744"/>
      <c r="AV74" s="238"/>
    </row>
    <row r="75" spans="1:51" ht="11.65" customHeight="1" x14ac:dyDescent="0.4">
      <c r="A75" s="238"/>
      <c r="B75" s="251"/>
      <c r="C75" s="252"/>
      <c r="D75" s="252"/>
      <c r="E75" s="252"/>
      <c r="F75" s="252"/>
      <c r="G75" s="252"/>
      <c r="H75" s="252"/>
      <c r="I75" s="252"/>
      <c r="J75" s="253"/>
      <c r="K75" s="254"/>
      <c r="L75" s="254"/>
      <c r="M75" s="255"/>
      <c r="N75" s="253"/>
      <c r="O75" s="254"/>
      <c r="P75" s="254"/>
      <c r="Q75" s="255"/>
      <c r="R75" s="256"/>
      <c r="S75" s="257"/>
      <c r="T75" s="257"/>
      <c r="U75" s="257"/>
      <c r="V75" s="258"/>
      <c r="W75" s="259"/>
      <c r="X75" s="259"/>
      <c r="Y75" s="259"/>
      <c r="Z75" s="260"/>
      <c r="AA75" s="255"/>
      <c r="AB75" s="255"/>
      <c r="AC75" s="255"/>
      <c r="AD75" s="260"/>
      <c r="AE75" s="255"/>
      <c r="AF75" s="251"/>
      <c r="AG75" s="252"/>
      <c r="AH75" s="252"/>
      <c r="AI75" s="252"/>
      <c r="AJ75" s="252"/>
      <c r="AK75" s="252"/>
      <c r="AL75" s="252"/>
      <c r="AM75" s="252"/>
      <c r="AN75" s="252"/>
      <c r="AO75" s="252"/>
      <c r="AP75" s="252"/>
      <c r="AQ75" s="252"/>
      <c r="AR75" s="252"/>
      <c r="AS75" s="252"/>
      <c r="AT75" s="252"/>
      <c r="AU75" s="252"/>
      <c r="AV75" s="238"/>
    </row>
    <row r="76" spans="1:51" ht="19.5" x14ac:dyDescent="0.4">
      <c r="A76" s="498" t="str">
        <f ca="1">"（２）経費等内訳　【総合判定】"&amp;AH85</f>
        <v>（２）経費等内訳　【総合判定】○</v>
      </c>
      <c r="B76" s="498"/>
      <c r="C76" s="498"/>
      <c r="D76" s="498"/>
      <c r="E76" s="498"/>
      <c r="F76" s="498"/>
      <c r="G76" s="498"/>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262"/>
    </row>
    <row r="77" spans="1:51" ht="9.9499999999999993" customHeight="1" x14ac:dyDescent="0.4">
      <c r="A77" s="261"/>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2"/>
      <c r="AN77" s="262"/>
      <c r="AO77" s="262"/>
      <c r="AP77" s="262"/>
      <c r="AQ77" s="262"/>
      <c r="AR77" s="262"/>
      <c r="AS77" s="262"/>
      <c r="AT77" s="262"/>
      <c r="AU77" s="262"/>
      <c r="AV77" s="262"/>
    </row>
    <row r="78" spans="1:51" ht="19.5" x14ac:dyDescent="0.4">
      <c r="A78" s="238"/>
      <c r="B78" s="500" t="s">
        <v>191</v>
      </c>
      <c r="C78" s="527"/>
      <c r="D78" s="527"/>
      <c r="E78" s="527"/>
      <c r="F78" s="527"/>
      <c r="G78" s="500" t="s">
        <v>193</v>
      </c>
      <c r="H78" s="527"/>
      <c r="I78" s="527"/>
      <c r="J78" s="500" t="s">
        <v>364</v>
      </c>
      <c r="K78" s="527"/>
      <c r="L78" s="527"/>
      <c r="M78" s="527"/>
      <c r="N78" s="500" t="s">
        <v>299</v>
      </c>
      <c r="O78" s="527"/>
      <c r="P78" s="527"/>
      <c r="Q78" s="527"/>
      <c r="R78" s="495" t="s">
        <v>386</v>
      </c>
      <c r="S78" s="817"/>
      <c r="T78" s="495" t="s">
        <v>43</v>
      </c>
      <c r="U78" s="757"/>
      <c r="V78" s="238"/>
      <c r="W78" s="238"/>
      <c r="X78" s="500" t="s">
        <v>191</v>
      </c>
      <c r="Y78" s="527"/>
      <c r="Z78" s="527"/>
      <c r="AA78" s="527"/>
      <c r="AB78" s="500" t="s">
        <v>194</v>
      </c>
      <c r="AC78" s="527"/>
      <c r="AD78" s="527"/>
      <c r="AE78" s="500" t="s">
        <v>196</v>
      </c>
      <c r="AF78" s="527"/>
      <c r="AG78" s="527"/>
      <c r="AH78" s="500" t="s">
        <v>43</v>
      </c>
      <c r="AI78" s="527"/>
      <c r="AJ78" s="495" t="s">
        <v>70</v>
      </c>
      <c r="AK78" s="816"/>
      <c r="AL78" s="816"/>
      <c r="AM78" s="816"/>
      <c r="AN78" s="816"/>
      <c r="AO78" s="816"/>
      <c r="AP78" s="816"/>
      <c r="AQ78" s="816"/>
      <c r="AR78" s="816"/>
      <c r="AS78" s="816"/>
      <c r="AT78" s="816"/>
      <c r="AU78" s="817"/>
      <c r="AV78" s="302"/>
      <c r="AW78" s="248"/>
      <c r="AX78" s="238"/>
      <c r="AY78" s="223" t="s">
        <v>261</v>
      </c>
    </row>
    <row r="79" spans="1:51" ht="19.350000000000001" customHeight="1" x14ac:dyDescent="0.4">
      <c r="A79" s="238"/>
      <c r="B79" s="773"/>
      <c r="C79" s="774"/>
      <c r="D79" s="774"/>
      <c r="E79" s="774"/>
      <c r="F79" s="774"/>
      <c r="G79" s="784"/>
      <c r="H79" s="785"/>
      <c r="I79" s="785"/>
      <c r="J79" s="771"/>
      <c r="K79" s="772"/>
      <c r="L79" s="772"/>
      <c r="M79" s="772"/>
      <c r="N79" s="792">
        <f>ROUNDDOWN(J79*1.1,0)</f>
        <v>0</v>
      </c>
      <c r="O79" s="793"/>
      <c r="P79" s="793"/>
      <c r="Q79" s="793"/>
      <c r="R79" s="820">
        <f>G79*N79</f>
        <v>0</v>
      </c>
      <c r="S79" s="821"/>
      <c r="T79" s="495" t="str">
        <f t="shared" ref="T79:T85" si="12" xml:space="preserve">
IF(COUNTA(B79:M79)=0,"○",
IF(AND(COUNTA(B79:M79)&gt;=1,COUNTA(B79:M79)&lt;3),"×",
IF(COUNTA(B79:M79)=3,"◎")))</f>
        <v>○</v>
      </c>
      <c r="U79" s="757"/>
      <c r="V79" s="263">
        <f t="shared" ref="V79:V85" si="13">IF(T79="◎",G79,0)</f>
        <v>0</v>
      </c>
      <c r="W79" s="238"/>
      <c r="X79" s="761" t="s">
        <v>195</v>
      </c>
      <c r="Y79" s="758"/>
      <c r="Z79" s="758"/>
      <c r="AA79" s="758"/>
      <c r="AB79" s="759">
        <f>SUM(B30,B42)</f>
        <v>0</v>
      </c>
      <c r="AC79" s="522"/>
      <c r="AD79" s="522"/>
      <c r="AE79" s="759">
        <f ca="1">SUMIF(B79:F85,"道路看板",V79:V85)</f>
        <v>0</v>
      </c>
      <c r="AF79" s="522"/>
      <c r="AG79" s="522"/>
      <c r="AH79" s="500" t="str">
        <f ca="1" xml:space="preserve">
IF(AND(AB79=0,AE79=0),"○",
IF(OR(AE79&lt;&gt;AB79),"×",
IF(AND(AB79&lt;&gt;0,AE79&lt;&gt;0,AE79=AB79),"◎")))</f>
        <v>○</v>
      </c>
      <c r="AI79" s="501"/>
      <c r="AJ79" s="810" t="str">
        <f ca="1" xml:space="preserve">
IF(AND(AB79=0,AE79=0),"申請しない場合は入力不要です。",
IF(OR(AE79&lt;&gt;AB79),"【要修正】（１）で入力の道路看板の個所数と一致しません。",
IF(AND(AB79&lt;&gt;0,AE79&lt;&gt;0,AE79=AB79),"（１）で入力の道路看板の個所数と一致しました。")))</f>
        <v>申請しない場合は入力不要です。</v>
      </c>
      <c r="AK79" s="811"/>
      <c r="AL79" s="811"/>
      <c r="AM79" s="811"/>
      <c r="AN79" s="811"/>
      <c r="AO79" s="811"/>
      <c r="AP79" s="811"/>
      <c r="AQ79" s="811"/>
      <c r="AR79" s="811"/>
      <c r="AS79" s="811"/>
      <c r="AT79" s="811"/>
      <c r="AU79" s="812"/>
      <c r="AV79" s="303"/>
      <c r="AW79" s="304"/>
      <c r="AX79" s="238"/>
      <c r="AY79" s="223" t="s">
        <v>262</v>
      </c>
    </row>
    <row r="80" spans="1:51" ht="19.5" x14ac:dyDescent="0.4">
      <c r="A80" s="238"/>
      <c r="B80" s="773"/>
      <c r="C80" s="774"/>
      <c r="D80" s="774"/>
      <c r="E80" s="774"/>
      <c r="F80" s="774"/>
      <c r="G80" s="784"/>
      <c r="H80" s="785"/>
      <c r="I80" s="785"/>
      <c r="J80" s="771"/>
      <c r="K80" s="772"/>
      <c r="L80" s="772"/>
      <c r="M80" s="772"/>
      <c r="N80" s="792">
        <f t="shared" ref="N80:N85" si="14">ROUNDDOWN(J80*1.1,0)</f>
        <v>0</v>
      </c>
      <c r="O80" s="793"/>
      <c r="P80" s="793"/>
      <c r="Q80" s="793"/>
      <c r="R80" s="820">
        <f t="shared" ref="R80:R85" si="15">G80*N80</f>
        <v>0</v>
      </c>
      <c r="S80" s="821"/>
      <c r="T80" s="495" t="str">
        <f t="shared" si="12"/>
        <v>○</v>
      </c>
      <c r="U80" s="757"/>
      <c r="V80" s="263">
        <f t="shared" si="13"/>
        <v>0</v>
      </c>
      <c r="W80" s="238"/>
      <c r="X80" s="522"/>
      <c r="Y80" s="522"/>
      <c r="Z80" s="522"/>
      <c r="AA80" s="522"/>
      <c r="AB80" s="522"/>
      <c r="AC80" s="522"/>
      <c r="AD80" s="522"/>
      <c r="AE80" s="522"/>
      <c r="AF80" s="522"/>
      <c r="AG80" s="522"/>
      <c r="AH80" s="501"/>
      <c r="AI80" s="501"/>
      <c r="AJ80" s="813"/>
      <c r="AK80" s="814"/>
      <c r="AL80" s="814"/>
      <c r="AM80" s="814"/>
      <c r="AN80" s="814"/>
      <c r="AO80" s="814"/>
      <c r="AP80" s="814"/>
      <c r="AQ80" s="814"/>
      <c r="AR80" s="814"/>
      <c r="AS80" s="814"/>
      <c r="AT80" s="814"/>
      <c r="AU80" s="815"/>
      <c r="AV80" s="303"/>
      <c r="AW80" s="304"/>
      <c r="AX80" s="238"/>
      <c r="AY80" s="223" t="s">
        <v>371</v>
      </c>
    </row>
    <row r="81" spans="1:50" ht="19.350000000000001" customHeight="1" x14ac:dyDescent="0.4">
      <c r="A81" s="238"/>
      <c r="B81" s="773"/>
      <c r="C81" s="774"/>
      <c r="D81" s="774"/>
      <c r="E81" s="774"/>
      <c r="F81" s="774"/>
      <c r="G81" s="784"/>
      <c r="H81" s="785"/>
      <c r="I81" s="785"/>
      <c r="J81" s="771"/>
      <c r="K81" s="772"/>
      <c r="L81" s="772"/>
      <c r="M81" s="772"/>
      <c r="N81" s="792">
        <f t="shared" si="14"/>
        <v>0</v>
      </c>
      <c r="O81" s="793"/>
      <c r="P81" s="793"/>
      <c r="Q81" s="793"/>
      <c r="R81" s="820">
        <f t="shared" si="15"/>
        <v>0</v>
      </c>
      <c r="S81" s="821"/>
      <c r="T81" s="495" t="str">
        <f t="shared" si="12"/>
        <v>○</v>
      </c>
      <c r="U81" s="757"/>
      <c r="V81" s="263">
        <f t="shared" si="13"/>
        <v>0</v>
      </c>
      <c r="W81" s="238"/>
      <c r="X81" s="761" t="s">
        <v>192</v>
      </c>
      <c r="Y81" s="761"/>
      <c r="Z81" s="761"/>
      <c r="AA81" s="761"/>
      <c r="AB81" s="759">
        <f>B55</f>
        <v>0</v>
      </c>
      <c r="AC81" s="760"/>
      <c r="AD81" s="760"/>
      <c r="AE81" s="759">
        <f ca="1">SUMIF(B79:F85,"電柱広告",V79:V85)</f>
        <v>0</v>
      </c>
      <c r="AF81" s="760"/>
      <c r="AG81" s="760"/>
      <c r="AH81" s="500" t="str">
        <f ca="1" xml:space="preserve">
IF(AND(AB81=0,AE81=0,AE81=AB81),"○",
IF(OR(AE81&lt;&gt;AB81),"×",
IF(AND(AB81&lt;&gt;0,AE81&lt;&gt;0,AE81=AB81),"◎")))</f>
        <v>○</v>
      </c>
      <c r="AI81" s="501"/>
      <c r="AJ81" s="810" t="str">
        <f ca="1" xml:space="preserve">
IF(AND(AB81=0,AE81=0),"申請しない場合は入力不要です。",
IF(OR(AE81&lt;&gt;AB81),"【要修正】（１）で入力の電柱広告の個所数と一致しません。",
IF(AND(AB81&lt;&gt;0,AE81&lt;&gt;0,AE81=AB81),"（１）で入力の電柱広告の個所数と一致しました。")))</f>
        <v>申請しない場合は入力不要です。</v>
      </c>
      <c r="AK81" s="811"/>
      <c r="AL81" s="811"/>
      <c r="AM81" s="811"/>
      <c r="AN81" s="811"/>
      <c r="AO81" s="811"/>
      <c r="AP81" s="811"/>
      <c r="AQ81" s="811"/>
      <c r="AR81" s="811"/>
      <c r="AS81" s="811"/>
      <c r="AT81" s="811"/>
      <c r="AU81" s="812"/>
      <c r="AV81" s="303"/>
      <c r="AW81" s="304"/>
      <c r="AX81" s="238"/>
    </row>
    <row r="82" spans="1:50" ht="19.5" x14ac:dyDescent="0.4">
      <c r="A82" s="238"/>
      <c r="B82" s="773"/>
      <c r="C82" s="774"/>
      <c r="D82" s="774"/>
      <c r="E82" s="774"/>
      <c r="F82" s="774"/>
      <c r="G82" s="786"/>
      <c r="H82" s="787"/>
      <c r="I82" s="788"/>
      <c r="J82" s="822"/>
      <c r="K82" s="823"/>
      <c r="L82" s="823"/>
      <c r="M82" s="824"/>
      <c r="N82" s="792">
        <f t="shared" si="14"/>
        <v>0</v>
      </c>
      <c r="O82" s="793"/>
      <c r="P82" s="793"/>
      <c r="Q82" s="793"/>
      <c r="R82" s="820">
        <f t="shared" si="15"/>
        <v>0</v>
      </c>
      <c r="S82" s="821"/>
      <c r="T82" s="495" t="str">
        <f t="shared" si="12"/>
        <v>○</v>
      </c>
      <c r="U82" s="757"/>
      <c r="V82" s="263">
        <f t="shared" si="13"/>
        <v>0</v>
      </c>
      <c r="W82" s="238"/>
      <c r="X82" s="760"/>
      <c r="Y82" s="760"/>
      <c r="Z82" s="760"/>
      <c r="AA82" s="760"/>
      <c r="AB82" s="760"/>
      <c r="AC82" s="760"/>
      <c r="AD82" s="760"/>
      <c r="AE82" s="760"/>
      <c r="AF82" s="760"/>
      <c r="AG82" s="760"/>
      <c r="AH82" s="501"/>
      <c r="AI82" s="501"/>
      <c r="AJ82" s="813"/>
      <c r="AK82" s="814"/>
      <c r="AL82" s="814"/>
      <c r="AM82" s="814"/>
      <c r="AN82" s="814"/>
      <c r="AO82" s="814"/>
      <c r="AP82" s="814"/>
      <c r="AQ82" s="814"/>
      <c r="AR82" s="814"/>
      <c r="AS82" s="814"/>
      <c r="AT82" s="814"/>
      <c r="AU82" s="815"/>
      <c r="AV82" s="303"/>
      <c r="AW82" s="304"/>
      <c r="AX82" s="238"/>
    </row>
    <row r="83" spans="1:50" ht="19.350000000000001" customHeight="1" x14ac:dyDescent="0.4">
      <c r="A83" s="238"/>
      <c r="B83" s="773"/>
      <c r="C83" s="774"/>
      <c r="D83" s="774"/>
      <c r="E83" s="774"/>
      <c r="F83" s="774"/>
      <c r="G83" s="786"/>
      <c r="H83" s="787"/>
      <c r="I83" s="788"/>
      <c r="J83" s="822"/>
      <c r="K83" s="823"/>
      <c r="L83" s="823"/>
      <c r="M83" s="824"/>
      <c r="N83" s="792">
        <f t="shared" si="14"/>
        <v>0</v>
      </c>
      <c r="O83" s="793"/>
      <c r="P83" s="793"/>
      <c r="Q83" s="793"/>
      <c r="R83" s="820">
        <f t="shared" si="15"/>
        <v>0</v>
      </c>
      <c r="S83" s="821"/>
      <c r="T83" s="495" t="str">
        <f t="shared" si="12"/>
        <v>○</v>
      </c>
      <c r="U83" s="757"/>
      <c r="V83" s="263">
        <f t="shared" si="13"/>
        <v>0</v>
      </c>
      <c r="W83" s="238"/>
      <c r="X83" s="730" t="s">
        <v>371</v>
      </c>
      <c r="Y83" s="731"/>
      <c r="Z83" s="731"/>
      <c r="AA83" s="732"/>
      <c r="AB83" s="736">
        <f>B67</f>
        <v>0</v>
      </c>
      <c r="AC83" s="737"/>
      <c r="AD83" s="737"/>
      <c r="AE83" s="736">
        <f ca="1">SUMIF(B79:F85,"敷地内看板",V79:V85)</f>
        <v>0</v>
      </c>
      <c r="AF83" s="736"/>
      <c r="AG83" s="736"/>
      <c r="AH83" s="500" t="str">
        <f ca="1" xml:space="preserve">
IF(AND(AB83=0,AE83=0,AE83=AB83),"○",
IF(OR(AE83&lt;&gt;AB83),"×",
IF(AND(AB83&lt;&gt;0,AE83&lt;&gt;0,AE83=AB83),"◎")))</f>
        <v>○</v>
      </c>
      <c r="AI83" s="501"/>
      <c r="AJ83" s="810" t="str">
        <f ca="1" xml:space="preserve">
IF(AND(AB83=0,AE83=0),"申請しない場合は入力不要です。",
IF(OR(AE83&lt;&gt;AB83),"【要修正】（１）で入力の敷地内看板の個所数と一致しません。",
IF(AND(AB83&lt;&gt;0,AE83&lt;&gt;0,AE83=AB83),"（１）で入力の敷地内看板の個所数と一致しました。")))</f>
        <v>申請しない場合は入力不要です。</v>
      </c>
      <c r="AK83" s="811"/>
      <c r="AL83" s="811"/>
      <c r="AM83" s="811"/>
      <c r="AN83" s="811"/>
      <c r="AO83" s="811"/>
      <c r="AP83" s="811"/>
      <c r="AQ83" s="811"/>
      <c r="AR83" s="811"/>
      <c r="AS83" s="811"/>
      <c r="AT83" s="811"/>
      <c r="AU83" s="812"/>
      <c r="AV83" s="303"/>
      <c r="AW83" s="304"/>
      <c r="AX83" s="238"/>
    </row>
    <row r="84" spans="1:50" ht="19.5" x14ac:dyDescent="0.4">
      <c r="A84" s="238"/>
      <c r="B84" s="773"/>
      <c r="C84" s="774"/>
      <c r="D84" s="774"/>
      <c r="E84" s="774"/>
      <c r="F84" s="774"/>
      <c r="G84" s="786"/>
      <c r="H84" s="787"/>
      <c r="I84" s="788"/>
      <c r="J84" s="822"/>
      <c r="K84" s="823"/>
      <c r="L84" s="823"/>
      <c r="M84" s="824"/>
      <c r="N84" s="792">
        <f t="shared" si="14"/>
        <v>0</v>
      </c>
      <c r="O84" s="793"/>
      <c r="P84" s="793"/>
      <c r="Q84" s="793"/>
      <c r="R84" s="820">
        <f t="shared" si="15"/>
        <v>0</v>
      </c>
      <c r="S84" s="821"/>
      <c r="T84" s="495" t="str">
        <f t="shared" si="12"/>
        <v>○</v>
      </c>
      <c r="U84" s="757"/>
      <c r="V84" s="263">
        <f t="shared" si="13"/>
        <v>0</v>
      </c>
      <c r="W84" s="238"/>
      <c r="X84" s="733"/>
      <c r="Y84" s="734"/>
      <c r="Z84" s="734"/>
      <c r="AA84" s="735"/>
      <c r="AB84" s="737"/>
      <c r="AC84" s="737"/>
      <c r="AD84" s="737"/>
      <c r="AE84" s="736"/>
      <c r="AF84" s="736"/>
      <c r="AG84" s="736"/>
      <c r="AH84" s="501"/>
      <c r="AI84" s="501"/>
      <c r="AJ84" s="813"/>
      <c r="AK84" s="814"/>
      <c r="AL84" s="814"/>
      <c r="AM84" s="814"/>
      <c r="AN84" s="814"/>
      <c r="AO84" s="814"/>
      <c r="AP84" s="814"/>
      <c r="AQ84" s="814"/>
      <c r="AR84" s="814"/>
      <c r="AS84" s="814"/>
      <c r="AT84" s="814"/>
      <c r="AU84" s="815"/>
      <c r="AV84" s="303"/>
      <c r="AW84" s="304"/>
      <c r="AX84" s="238"/>
    </row>
    <row r="85" spans="1:50" ht="20.25" thickBot="1" x14ac:dyDescent="0.45">
      <c r="A85" s="238"/>
      <c r="B85" s="773"/>
      <c r="C85" s="774"/>
      <c r="D85" s="774"/>
      <c r="E85" s="774"/>
      <c r="F85" s="774"/>
      <c r="G85" s="789"/>
      <c r="H85" s="790"/>
      <c r="I85" s="791"/>
      <c r="J85" s="781"/>
      <c r="K85" s="782"/>
      <c r="L85" s="782"/>
      <c r="M85" s="783"/>
      <c r="N85" s="794">
        <f t="shared" si="14"/>
        <v>0</v>
      </c>
      <c r="O85" s="795"/>
      <c r="P85" s="795"/>
      <c r="Q85" s="795"/>
      <c r="R85" s="820">
        <f t="shared" si="15"/>
        <v>0</v>
      </c>
      <c r="S85" s="821"/>
      <c r="T85" s="706" t="str">
        <f t="shared" si="12"/>
        <v>○</v>
      </c>
      <c r="U85" s="825"/>
      <c r="V85" s="263">
        <f t="shared" si="13"/>
        <v>0</v>
      </c>
      <c r="W85" s="238"/>
      <c r="X85" s="500" t="s">
        <v>199</v>
      </c>
      <c r="Y85" s="527"/>
      <c r="Z85" s="527"/>
      <c r="AA85" s="527"/>
      <c r="AB85" s="527"/>
      <c r="AC85" s="527"/>
      <c r="AD85" s="527"/>
      <c r="AE85" s="527"/>
      <c r="AF85" s="527"/>
      <c r="AG85" s="527"/>
      <c r="AH85" s="500" t="str">
        <f ca="1" xml:space="preserve">
IF(COUNTIF(AH79:AI84,"○")=3,"○",
IF(COUNTIF(AH79:AI84,"×")&gt;=1,"×",
IF(AND(COUNTIF(AH79:AI84,"◎")&gt;=1,COUNTIF(AH79:AI84,"×")=0),"◎")))</f>
        <v>○</v>
      </c>
      <c r="AI85" s="527"/>
      <c r="AJ85" s="805"/>
      <c r="AK85" s="806"/>
      <c r="AL85" s="806"/>
      <c r="AM85" s="806"/>
      <c r="AN85" s="806"/>
      <c r="AO85" s="806"/>
      <c r="AP85" s="806"/>
      <c r="AQ85" s="806"/>
      <c r="AR85" s="806"/>
      <c r="AS85" s="806"/>
      <c r="AT85" s="806"/>
      <c r="AU85" s="807"/>
      <c r="AV85" s="305"/>
      <c r="AW85" s="301"/>
      <c r="AX85" s="238"/>
    </row>
    <row r="86" spans="1:50" ht="20.25" thickTop="1" x14ac:dyDescent="0.4">
      <c r="A86" s="238"/>
      <c r="B86" s="779" t="s">
        <v>2</v>
      </c>
      <c r="C86" s="780"/>
      <c r="D86" s="780"/>
      <c r="E86" s="780"/>
      <c r="F86" s="780"/>
      <c r="G86" s="780"/>
      <c r="H86" s="780"/>
      <c r="I86" s="780"/>
      <c r="J86" s="780"/>
      <c r="K86" s="780"/>
      <c r="L86" s="780"/>
      <c r="M86" s="780"/>
      <c r="N86" s="777">
        <f>SUM(N79:Q85)</f>
        <v>0</v>
      </c>
      <c r="O86" s="778"/>
      <c r="P86" s="778"/>
      <c r="Q86" s="778"/>
      <c r="R86" s="818">
        <f>SUM(R79:S85)</f>
        <v>0</v>
      </c>
      <c r="S86" s="819"/>
      <c r="T86" s="775" t="s">
        <v>182</v>
      </c>
      <c r="U86" s="776"/>
      <c r="V86" s="238"/>
      <c r="W86" s="238"/>
      <c r="X86" s="522"/>
      <c r="Y86" s="522"/>
      <c r="Z86" s="522"/>
      <c r="AA86" s="522"/>
      <c r="AB86" s="522"/>
      <c r="AC86" s="522"/>
      <c r="AD86" s="522"/>
      <c r="AE86" s="522"/>
      <c r="AF86" s="522"/>
      <c r="AG86" s="522"/>
      <c r="AH86" s="522"/>
      <c r="AI86" s="522"/>
      <c r="AJ86" s="808"/>
      <c r="AK86" s="520"/>
      <c r="AL86" s="520"/>
      <c r="AM86" s="520"/>
      <c r="AN86" s="520"/>
      <c r="AO86" s="520"/>
      <c r="AP86" s="520"/>
      <c r="AQ86" s="520"/>
      <c r="AR86" s="520"/>
      <c r="AS86" s="520"/>
      <c r="AT86" s="520"/>
      <c r="AU86" s="809"/>
      <c r="AV86" s="306"/>
      <c r="AW86" s="300"/>
      <c r="AX86" s="238"/>
    </row>
    <row r="87" spans="1:50" ht="19.5" hidden="1" x14ac:dyDescent="0.4">
      <c r="A87" s="238"/>
      <c r="B87" s="260"/>
      <c r="C87" s="255"/>
      <c r="D87" s="255"/>
      <c r="E87" s="255"/>
      <c r="F87" s="255"/>
      <c r="G87" s="255"/>
      <c r="H87" s="255"/>
      <c r="I87" s="255"/>
      <c r="J87" s="255"/>
      <c r="K87" s="255"/>
      <c r="L87" s="255"/>
      <c r="M87" s="255"/>
      <c r="N87" s="264"/>
      <c r="O87" s="252"/>
      <c r="P87" s="252"/>
      <c r="Q87" s="252"/>
      <c r="R87" s="247"/>
      <c r="S87" s="248"/>
      <c r="T87" s="238"/>
      <c r="U87" s="238"/>
      <c r="AV87" s="238"/>
    </row>
    <row r="88" spans="1:50" ht="19.5" hidden="1" x14ac:dyDescent="0.4">
      <c r="A88" s="238"/>
      <c r="B88" s="260"/>
      <c r="C88" s="255"/>
      <c r="D88" s="255"/>
      <c r="E88" s="255"/>
      <c r="F88" s="255"/>
      <c r="G88" s="255"/>
      <c r="H88" s="255"/>
      <c r="I88" s="255"/>
      <c r="J88" s="255"/>
      <c r="K88" s="255"/>
      <c r="L88" s="255"/>
      <c r="M88" s="255"/>
      <c r="N88" s="264"/>
      <c r="O88" s="252"/>
      <c r="P88" s="252"/>
      <c r="Q88" s="252"/>
      <c r="R88" s="247"/>
      <c r="S88" s="248"/>
      <c r="T88" s="238"/>
      <c r="U88" s="238"/>
      <c r="AV88" s="238"/>
    </row>
    <row r="89" spans="1:50" ht="11.65" customHeight="1" thickBot="1" x14ac:dyDescent="0.45">
      <c r="A89" s="238"/>
      <c r="B89" s="238"/>
      <c r="C89" s="238"/>
      <c r="D89" s="238"/>
      <c r="E89" s="238"/>
      <c r="F89" s="238"/>
      <c r="G89" s="238"/>
      <c r="H89" s="238"/>
      <c r="I89" s="238"/>
      <c r="J89" s="238"/>
      <c r="K89" s="238"/>
      <c r="L89" s="238"/>
      <c r="M89" s="238"/>
      <c r="N89" s="238"/>
      <c r="O89" s="238"/>
      <c r="P89" s="238"/>
      <c r="Q89" s="238"/>
      <c r="R89" s="238"/>
      <c r="S89" s="238"/>
      <c r="T89" s="238"/>
      <c r="U89" s="238"/>
      <c r="AV89" s="265"/>
    </row>
    <row r="90" spans="1:50" ht="24.75" thickTop="1" x14ac:dyDescent="0.4">
      <c r="B90" s="228" t="s">
        <v>267</v>
      </c>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30"/>
    </row>
    <row r="91" spans="1:50" ht="18.399999999999999" hidden="1" customHeight="1" x14ac:dyDescent="0.4">
      <c r="A91" s="265"/>
      <c r="B91" s="266"/>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32"/>
    </row>
    <row r="92" spans="1:50" ht="18.399999999999999" customHeight="1" x14ac:dyDescent="0.4">
      <c r="B92" s="231" t="s">
        <v>204</v>
      </c>
      <c r="C92" s="267"/>
      <c r="D92" s="267"/>
      <c r="E92" s="267"/>
      <c r="F92" s="267"/>
      <c r="G92" s="267"/>
      <c r="H92" s="267"/>
      <c r="I92" s="267"/>
      <c r="J92" s="267"/>
      <c r="K92" s="267"/>
      <c r="L92" s="267"/>
      <c r="M92" s="267"/>
      <c r="N92" s="267"/>
      <c r="O92" s="267"/>
      <c r="P92" s="267"/>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8"/>
    </row>
    <row r="93" spans="1:50" ht="18.399999999999999" hidden="1" customHeight="1" x14ac:dyDescent="0.4">
      <c r="B93" s="269"/>
      <c r="C93" s="267"/>
      <c r="D93" s="267"/>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8"/>
    </row>
    <row r="94" spans="1:50" ht="18.399999999999999" customHeight="1" x14ac:dyDescent="0.4">
      <c r="B94" s="231" t="s">
        <v>202</v>
      </c>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8"/>
    </row>
    <row r="95" spans="1:50" ht="18.399999999999999" hidden="1" customHeight="1" x14ac:dyDescent="0.4">
      <c r="B95" s="269"/>
      <c r="C95" s="267"/>
      <c r="D95" s="267"/>
      <c r="E95" s="267"/>
      <c r="F95" s="267"/>
      <c r="G95" s="267"/>
      <c r="H95" s="267"/>
      <c r="I95" s="267"/>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8"/>
    </row>
    <row r="96" spans="1:50" ht="18.399999999999999" customHeight="1" x14ac:dyDescent="0.4">
      <c r="B96" s="231" t="s">
        <v>201</v>
      </c>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8"/>
    </row>
    <row r="97" spans="2:47" ht="18.399999999999999" hidden="1" customHeight="1" x14ac:dyDescent="0.4">
      <c r="B97" s="269"/>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8"/>
    </row>
    <row r="98" spans="2:47" ht="18.95" customHeight="1" thickBot="1" x14ac:dyDescent="0.45">
      <c r="B98" s="233" t="s">
        <v>203</v>
      </c>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1"/>
    </row>
    <row r="99" spans="2:47" ht="25.5" hidden="1" thickTop="1" thickBot="1" x14ac:dyDescent="0.45">
      <c r="B99" s="272"/>
      <c r="C99" s="270"/>
      <c r="D99" s="270"/>
      <c r="E99" s="270"/>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1"/>
    </row>
    <row r="100" spans="2:47" ht="18.75" hidden="1" thickTop="1" x14ac:dyDescent="0.4"/>
    <row r="101" spans="2:47" ht="18.75" thickTop="1" x14ac:dyDescent="0.4"/>
  </sheetData>
  <sheetProtection algorithmName="SHA-512" hashValue="JTG8ywBzEjXZrQTzXGV7Z3F6S4Kb97NqfoOH4lsGDbYBBzNVGciSQMd0JCeihXfRRQCTj8UPjVlmhT/GnuVfWA==" saltValue="f+BIVD37OMxeSDtkbWmjaQ==" spinCount="100000" sheet="1" objects="1" scenarios="1"/>
  <mergeCells count="335">
    <mergeCell ref="AJ85:AU86"/>
    <mergeCell ref="AJ83:AU84"/>
    <mergeCell ref="AJ81:AU82"/>
    <mergeCell ref="AJ79:AU80"/>
    <mergeCell ref="AJ78:AU78"/>
    <mergeCell ref="A76:AU76"/>
    <mergeCell ref="R86:S86"/>
    <mergeCell ref="R85:S85"/>
    <mergeCell ref="R84:S84"/>
    <mergeCell ref="R83:S83"/>
    <mergeCell ref="R82:S82"/>
    <mergeCell ref="R81:S81"/>
    <mergeCell ref="R80:S80"/>
    <mergeCell ref="R79:S79"/>
    <mergeCell ref="R78:S78"/>
    <mergeCell ref="J80:M80"/>
    <mergeCell ref="J81:M81"/>
    <mergeCell ref="J82:M82"/>
    <mergeCell ref="J83:M83"/>
    <mergeCell ref="J84:M84"/>
    <mergeCell ref="T85:U85"/>
    <mergeCell ref="N79:Q79"/>
    <mergeCell ref="N80:Q80"/>
    <mergeCell ref="N81:Q81"/>
    <mergeCell ref="T8:AU8"/>
    <mergeCell ref="AD59:AE59"/>
    <mergeCell ref="AF59:AU59"/>
    <mergeCell ref="Z47:AC47"/>
    <mergeCell ref="B3:P5"/>
    <mergeCell ref="AO3:AU5"/>
    <mergeCell ref="AK3:AN5"/>
    <mergeCell ref="R33:U33"/>
    <mergeCell ref="R34:U34"/>
    <mergeCell ref="R36:U36"/>
    <mergeCell ref="Z32:AC32"/>
    <mergeCell ref="Z33:AC33"/>
    <mergeCell ref="Z34:AC34"/>
    <mergeCell ref="Z35:AC35"/>
    <mergeCell ref="Z36:AC36"/>
    <mergeCell ref="B29:E29"/>
    <mergeCell ref="F29:G29"/>
    <mergeCell ref="H29:Q29"/>
    <mergeCell ref="Z29:AC29"/>
    <mergeCell ref="AD29:AU29"/>
    <mergeCell ref="B30:E30"/>
    <mergeCell ref="F30:G30"/>
    <mergeCell ref="H30:Q30"/>
    <mergeCell ref="Z30:AC30"/>
    <mergeCell ref="N34:Q34"/>
    <mergeCell ref="N36:Q36"/>
    <mergeCell ref="V62:Y62"/>
    <mergeCell ref="AF32:AU32"/>
    <mergeCell ref="AF33:AU33"/>
    <mergeCell ref="AF34:AU34"/>
    <mergeCell ref="AF35:AU35"/>
    <mergeCell ref="AF36:AU36"/>
    <mergeCell ref="Z38:AC38"/>
    <mergeCell ref="AD32:AE32"/>
    <mergeCell ref="AD33:AE33"/>
    <mergeCell ref="AD34:AE34"/>
    <mergeCell ref="AD35:AE35"/>
    <mergeCell ref="AD36:AE36"/>
    <mergeCell ref="AF37:AU37"/>
    <mergeCell ref="AD37:AE37"/>
    <mergeCell ref="AD38:AE38"/>
    <mergeCell ref="Z37:AC37"/>
    <mergeCell ref="V38:Y38"/>
    <mergeCell ref="Z57:AC57"/>
    <mergeCell ref="AD57:AE57"/>
    <mergeCell ref="AF57:AU57"/>
    <mergeCell ref="Z59:AC59"/>
    <mergeCell ref="V45:Y45"/>
    <mergeCell ref="N35:Q35"/>
    <mergeCell ref="R35:U35"/>
    <mergeCell ref="G78:I78"/>
    <mergeCell ref="B78:F78"/>
    <mergeCell ref="T78:U78"/>
    <mergeCell ref="R57:U57"/>
    <mergeCell ref="R59:U59"/>
    <mergeCell ref="B47:I47"/>
    <mergeCell ref="J47:M47"/>
    <mergeCell ref="N47:Q47"/>
    <mergeCell ref="R47:U47"/>
    <mergeCell ref="N62:Q62"/>
    <mergeCell ref="R62:U62"/>
    <mergeCell ref="F66:G66"/>
    <mergeCell ref="N38:Q38"/>
    <mergeCell ref="H66:Q66"/>
    <mergeCell ref="B70:I70"/>
    <mergeCell ref="J70:M70"/>
    <mergeCell ref="B73:I73"/>
    <mergeCell ref="J73:M73"/>
    <mergeCell ref="B71:I71"/>
    <mergeCell ref="N78:Q78"/>
    <mergeCell ref="B82:F82"/>
    <mergeCell ref="B83:F83"/>
    <mergeCell ref="B84:F84"/>
    <mergeCell ref="J78:M78"/>
    <mergeCell ref="T86:U86"/>
    <mergeCell ref="N86:Q86"/>
    <mergeCell ref="B86:M86"/>
    <mergeCell ref="J85:M85"/>
    <mergeCell ref="B85:F85"/>
    <mergeCell ref="T79:U79"/>
    <mergeCell ref="G79:I79"/>
    <mergeCell ref="G80:I80"/>
    <mergeCell ref="G81:I81"/>
    <mergeCell ref="G82:I82"/>
    <mergeCell ref="G83:I83"/>
    <mergeCell ref="G84:I84"/>
    <mergeCell ref="G85:I85"/>
    <mergeCell ref="B79:F79"/>
    <mergeCell ref="B80:F80"/>
    <mergeCell ref="B81:F81"/>
    <mergeCell ref="N82:Q82"/>
    <mergeCell ref="N83:Q83"/>
    <mergeCell ref="N84:Q84"/>
    <mergeCell ref="N85:Q85"/>
    <mergeCell ref="J79:M79"/>
    <mergeCell ref="AF38:AU38"/>
    <mergeCell ref="B60:I60"/>
    <mergeCell ref="J60:M60"/>
    <mergeCell ref="N60:Q60"/>
    <mergeCell ref="R60:U60"/>
    <mergeCell ref="V60:Y60"/>
    <mergeCell ref="Z60:AC60"/>
    <mergeCell ref="AD60:AE60"/>
    <mergeCell ref="AF60:AU60"/>
    <mergeCell ref="V59:Y59"/>
    <mergeCell ref="B58:I58"/>
    <mergeCell ref="J58:M58"/>
    <mergeCell ref="N58:Q58"/>
    <mergeCell ref="R58:U58"/>
    <mergeCell ref="V58:Y58"/>
    <mergeCell ref="Z58:AC58"/>
    <mergeCell ref="AD58:AE58"/>
    <mergeCell ref="AF58:AU58"/>
    <mergeCell ref="B57:I57"/>
    <mergeCell ref="J57:M57"/>
    <mergeCell ref="N57:Q57"/>
    <mergeCell ref="V57:Y57"/>
    <mergeCell ref="J38:M38"/>
    <mergeCell ref="A25:AU25"/>
    <mergeCell ref="B26:AU26"/>
    <mergeCell ref="V32:Y32"/>
    <mergeCell ref="V33:Y33"/>
    <mergeCell ref="V34:Y34"/>
    <mergeCell ref="V36:Y36"/>
    <mergeCell ref="V37:Y37"/>
    <mergeCell ref="B32:I32"/>
    <mergeCell ref="B33:I33"/>
    <mergeCell ref="B34:I34"/>
    <mergeCell ref="V35:Y35"/>
    <mergeCell ref="N33:Q33"/>
    <mergeCell ref="B36:I36"/>
    <mergeCell ref="R37:U37"/>
    <mergeCell ref="J36:M36"/>
    <mergeCell ref="J37:M37"/>
    <mergeCell ref="N37:Q37"/>
    <mergeCell ref="J32:M32"/>
    <mergeCell ref="J33:M33"/>
    <mergeCell ref="J34:M34"/>
    <mergeCell ref="AD30:AU30"/>
    <mergeCell ref="R32:U32"/>
    <mergeCell ref="B35:I35"/>
    <mergeCell ref="J35:M35"/>
    <mergeCell ref="B38:I38"/>
    <mergeCell ref="N32:Q32"/>
    <mergeCell ref="B37:I37"/>
    <mergeCell ref="B52:AU52"/>
    <mergeCell ref="B54:E54"/>
    <mergeCell ref="F54:G54"/>
    <mergeCell ref="H54:Q54"/>
    <mergeCell ref="Z54:AC54"/>
    <mergeCell ref="AD54:AU54"/>
    <mergeCell ref="AD46:AE46"/>
    <mergeCell ref="AF46:AU46"/>
    <mergeCell ref="V47:Y47"/>
    <mergeCell ref="N44:Q44"/>
    <mergeCell ref="R44:U44"/>
    <mergeCell ref="V44:Y44"/>
    <mergeCell ref="Z44:AC44"/>
    <mergeCell ref="AD44:AE44"/>
    <mergeCell ref="AF44:AU44"/>
    <mergeCell ref="B45:I45"/>
    <mergeCell ref="J45:M45"/>
    <mergeCell ref="N45:Q45"/>
    <mergeCell ref="R45:U45"/>
    <mergeCell ref="Z45:AC45"/>
    <mergeCell ref="AD45:AE45"/>
    <mergeCell ref="R38:U38"/>
    <mergeCell ref="B55:E55"/>
    <mergeCell ref="F55:G55"/>
    <mergeCell ref="H55:Q55"/>
    <mergeCell ref="Z55:AC55"/>
    <mergeCell ref="AD55:AU55"/>
    <mergeCell ref="AD47:AE47"/>
    <mergeCell ref="AF47:AU47"/>
    <mergeCell ref="B41:E41"/>
    <mergeCell ref="F41:G41"/>
    <mergeCell ref="H41:Q41"/>
    <mergeCell ref="Z41:AC41"/>
    <mergeCell ref="AD41:AU41"/>
    <mergeCell ref="B42:E42"/>
    <mergeCell ref="F42:G42"/>
    <mergeCell ref="H42:Q42"/>
    <mergeCell ref="Z42:AC42"/>
    <mergeCell ref="AD42:AU42"/>
    <mergeCell ref="AF45:AU45"/>
    <mergeCell ref="B46:I46"/>
    <mergeCell ref="J46:M46"/>
    <mergeCell ref="N46:Q46"/>
    <mergeCell ref="R46:U46"/>
    <mergeCell ref="V46:Y46"/>
    <mergeCell ref="Z46:AC46"/>
    <mergeCell ref="X85:AG86"/>
    <mergeCell ref="AH85:AI86"/>
    <mergeCell ref="B62:I62"/>
    <mergeCell ref="J62:M62"/>
    <mergeCell ref="B48:I48"/>
    <mergeCell ref="J48:M48"/>
    <mergeCell ref="N48:Q48"/>
    <mergeCell ref="R48:U48"/>
    <mergeCell ref="V48:Y48"/>
    <mergeCell ref="Z48:AC48"/>
    <mergeCell ref="AD48:AE48"/>
    <mergeCell ref="AF48:AU48"/>
    <mergeCell ref="B49:I49"/>
    <mergeCell ref="J49:M49"/>
    <mergeCell ref="N49:Q49"/>
    <mergeCell ref="R49:U49"/>
    <mergeCell ref="V49:Y49"/>
    <mergeCell ref="Z49:AC49"/>
    <mergeCell ref="AD49:AE49"/>
    <mergeCell ref="AF49:AU49"/>
    <mergeCell ref="B59:I59"/>
    <mergeCell ref="J59:M59"/>
    <mergeCell ref="N59:Q59"/>
    <mergeCell ref="Z69:AC69"/>
    <mergeCell ref="Z62:AC62"/>
    <mergeCell ref="AD62:AE62"/>
    <mergeCell ref="AF62:AU62"/>
    <mergeCell ref="X79:AA80"/>
    <mergeCell ref="B61:I61"/>
    <mergeCell ref="J61:M61"/>
    <mergeCell ref="N61:Q61"/>
    <mergeCell ref="R61:U61"/>
    <mergeCell ref="V61:Y61"/>
    <mergeCell ref="Z61:AC61"/>
    <mergeCell ref="AD61:AE61"/>
    <mergeCell ref="AF61:AU61"/>
    <mergeCell ref="B67:E67"/>
    <mergeCell ref="F67:G67"/>
    <mergeCell ref="H67:Q67"/>
    <mergeCell ref="Z67:AC67"/>
    <mergeCell ref="AD67:AU67"/>
    <mergeCell ref="B69:I69"/>
    <mergeCell ref="J69:M69"/>
    <mergeCell ref="N69:Q69"/>
    <mergeCell ref="R69:U69"/>
    <mergeCell ref="V69:Y69"/>
    <mergeCell ref="AD69:AE69"/>
    <mergeCell ref="AF69:AU69"/>
    <mergeCell ref="N70:Q70"/>
    <mergeCell ref="R70:U70"/>
    <mergeCell ref="V70:Y70"/>
    <mergeCell ref="Z70:AC70"/>
    <mergeCell ref="AD70:AE70"/>
    <mergeCell ref="AF70:AU70"/>
    <mergeCell ref="V73:Y73"/>
    <mergeCell ref="N73:Q73"/>
    <mergeCell ref="R73:U73"/>
    <mergeCell ref="Z73:AC73"/>
    <mergeCell ref="AD73:AE73"/>
    <mergeCell ref="AF73:AU73"/>
    <mergeCell ref="V71:Y71"/>
    <mergeCell ref="Z71:AC71"/>
    <mergeCell ref="AD71:AE71"/>
    <mergeCell ref="AF71:AU71"/>
    <mergeCell ref="R71:U71"/>
    <mergeCell ref="N72:Q72"/>
    <mergeCell ref="R72:U72"/>
    <mergeCell ref="V72:Y72"/>
    <mergeCell ref="Z72:AC72"/>
    <mergeCell ref="AD72:AE72"/>
    <mergeCell ref="AF72:AU72"/>
    <mergeCell ref="N71:Q71"/>
    <mergeCell ref="B74:I74"/>
    <mergeCell ref="J74:M74"/>
    <mergeCell ref="N74:Q74"/>
    <mergeCell ref="R74:U74"/>
    <mergeCell ref="V74:Y74"/>
    <mergeCell ref="Z74:AC74"/>
    <mergeCell ref="AD74:AE74"/>
    <mergeCell ref="AF74:AU74"/>
    <mergeCell ref="J71:M71"/>
    <mergeCell ref="B72:I72"/>
    <mergeCell ref="J72:M72"/>
    <mergeCell ref="AB78:AD78"/>
    <mergeCell ref="AB79:AD80"/>
    <mergeCell ref="T82:U82"/>
    <mergeCell ref="T83:U83"/>
    <mergeCell ref="T84:U84"/>
    <mergeCell ref="AB81:AD82"/>
    <mergeCell ref="AE81:AG82"/>
    <mergeCell ref="AE78:AG78"/>
    <mergeCell ref="AH78:AI78"/>
    <mergeCell ref="X78:AA78"/>
    <mergeCell ref="X81:AA82"/>
    <mergeCell ref="T80:U80"/>
    <mergeCell ref="T81:U81"/>
    <mergeCell ref="AZ2:AZ6"/>
    <mergeCell ref="T9:AU24"/>
    <mergeCell ref="AH83:AI84"/>
    <mergeCell ref="X83:AA84"/>
    <mergeCell ref="AE83:AG84"/>
    <mergeCell ref="AB83:AD84"/>
    <mergeCell ref="AH81:AI82"/>
    <mergeCell ref="Z66:AC66"/>
    <mergeCell ref="AD66:AU66"/>
    <mergeCell ref="B64:AU64"/>
    <mergeCell ref="B66:E66"/>
    <mergeCell ref="T6:AU7"/>
    <mergeCell ref="B50:I50"/>
    <mergeCell ref="J50:M50"/>
    <mergeCell ref="N50:Q50"/>
    <mergeCell ref="R50:U50"/>
    <mergeCell ref="V50:Y50"/>
    <mergeCell ref="Z50:AC50"/>
    <mergeCell ref="AD50:AE50"/>
    <mergeCell ref="AF50:AU50"/>
    <mergeCell ref="B44:I44"/>
    <mergeCell ref="J44:M44"/>
    <mergeCell ref="AE79:AG80"/>
    <mergeCell ref="AH79:AI80"/>
  </mergeCells>
  <phoneticPr fontId="1"/>
  <conditionalFormatting sqref="AH85:AI85 AH79 AH81 AD70:AE73 AH83 T79:U85">
    <cfRule type="containsText" dxfId="44" priority="44" operator="containsText" text="×">
      <formula>NOT(ISERROR(SEARCH("×",T70)))</formula>
    </cfRule>
  </conditionalFormatting>
  <conditionalFormatting sqref="Z30:AC30">
    <cfRule type="containsText" dxfId="43" priority="38" operator="containsText" text="×">
      <formula>NOT(ISERROR(SEARCH("×",Z30)))</formula>
    </cfRule>
  </conditionalFormatting>
  <conditionalFormatting sqref="AD30:AU30 AF70:AU73">
    <cfRule type="containsText" dxfId="42" priority="37" operator="containsText" text="要修正">
      <formula>NOT(ISERROR(SEARCH("要修正",AD30)))</formula>
    </cfRule>
  </conditionalFormatting>
  <conditionalFormatting sqref="T6">
    <cfRule type="containsText" dxfId="41" priority="33" operator="containsText" text="要修正">
      <formula>NOT(ISERROR(SEARCH("要修正",T6)))</formula>
    </cfRule>
  </conditionalFormatting>
  <conditionalFormatting sqref="B26:AU26">
    <cfRule type="containsText" dxfId="40" priority="31" operator="containsText" text="×">
      <formula>NOT(ISERROR(SEARCH("×",B26)))</formula>
    </cfRule>
  </conditionalFormatting>
  <conditionalFormatting sqref="A77:AV77 A76 AV76">
    <cfRule type="containsText" dxfId="39" priority="29" operator="containsText" text="×">
      <formula>NOT(ISERROR(SEARCH("×",A76)))</formula>
    </cfRule>
  </conditionalFormatting>
  <conditionalFormatting sqref="Z55:AC55">
    <cfRule type="containsText" dxfId="38" priority="25" operator="containsText" text="×">
      <formula>NOT(ISERROR(SEARCH("×",Z55)))</formula>
    </cfRule>
  </conditionalFormatting>
  <conditionalFormatting sqref="AD55:AU55">
    <cfRule type="containsText" dxfId="37" priority="24" operator="containsText" text="要修正">
      <formula>NOT(ISERROR(SEARCH("要修正",AD55)))</formula>
    </cfRule>
  </conditionalFormatting>
  <conditionalFormatting sqref="B52:AU52">
    <cfRule type="containsText" dxfId="36" priority="22" operator="containsText" text="×">
      <formula>NOT(ISERROR(SEARCH("×",B52)))</formula>
    </cfRule>
  </conditionalFormatting>
  <conditionalFormatting sqref="AD50:AE50">
    <cfRule type="containsText" dxfId="35" priority="21" operator="containsText" text="×">
      <formula>NOT(ISERROR(SEARCH("×",AD50)))</formula>
    </cfRule>
  </conditionalFormatting>
  <conditionalFormatting sqref="AD45:AE49">
    <cfRule type="containsText" dxfId="34" priority="20" operator="containsText" text="×">
      <formula>NOT(ISERROR(SEARCH("×",AD45)))</formula>
    </cfRule>
  </conditionalFormatting>
  <conditionalFormatting sqref="AF45:AU49">
    <cfRule type="containsText" dxfId="33" priority="19" operator="containsText" text="要修正">
      <formula>NOT(ISERROR(SEARCH("要修正",AF45)))</formula>
    </cfRule>
  </conditionalFormatting>
  <conditionalFormatting sqref="Z42:AC42">
    <cfRule type="containsText" dxfId="32" priority="18" operator="containsText" text="×">
      <formula>NOT(ISERROR(SEARCH("×",Z42)))</formula>
    </cfRule>
  </conditionalFormatting>
  <conditionalFormatting sqref="AD42:AU42">
    <cfRule type="containsText" dxfId="31" priority="17" operator="containsText" text="要修正">
      <formula>NOT(ISERROR(SEARCH("要修正",AD42)))</formula>
    </cfRule>
  </conditionalFormatting>
  <conditionalFormatting sqref="AF50:AU50">
    <cfRule type="containsText" dxfId="30" priority="16" operator="containsText" text="要修正">
      <formula>NOT(ISERROR(SEARCH("要修正",AF50)))</formula>
    </cfRule>
  </conditionalFormatting>
  <conditionalFormatting sqref="AD38:AE38">
    <cfRule type="containsText" dxfId="29" priority="15" operator="containsText" text="×">
      <formula>NOT(ISERROR(SEARCH("×",AD38)))</formula>
    </cfRule>
  </conditionalFormatting>
  <conditionalFormatting sqref="AD33:AE37">
    <cfRule type="containsText" dxfId="28" priority="14" operator="containsText" text="×">
      <formula>NOT(ISERROR(SEARCH("×",AD33)))</formula>
    </cfRule>
  </conditionalFormatting>
  <conditionalFormatting sqref="AF33:AU37">
    <cfRule type="containsText" dxfId="27" priority="13" operator="containsText" text="要修正">
      <formula>NOT(ISERROR(SEARCH("要修正",AF33)))</formula>
    </cfRule>
  </conditionalFormatting>
  <conditionalFormatting sqref="AF38:AU38">
    <cfRule type="containsText" dxfId="26" priority="12" operator="containsText" text="要修正">
      <formula>NOT(ISERROR(SEARCH("要修正",AF38)))</formula>
    </cfRule>
  </conditionalFormatting>
  <conditionalFormatting sqref="AD62:AE63">
    <cfRule type="containsText" dxfId="25" priority="11" operator="containsText" text="×">
      <formula>NOT(ISERROR(SEARCH("×",AD62)))</formula>
    </cfRule>
  </conditionalFormatting>
  <conditionalFormatting sqref="AD58:AE61">
    <cfRule type="containsText" dxfId="24" priority="10" operator="containsText" text="×">
      <formula>NOT(ISERROR(SEARCH("×",AD58)))</formula>
    </cfRule>
  </conditionalFormatting>
  <conditionalFormatting sqref="AF58:AU61">
    <cfRule type="containsText" dxfId="23" priority="9" operator="containsText" text="要修正">
      <formula>NOT(ISERROR(SEARCH("要修正",AF58)))</formula>
    </cfRule>
  </conditionalFormatting>
  <conditionalFormatting sqref="AF62:AU63">
    <cfRule type="containsText" dxfId="22" priority="8" operator="containsText" text="要修正">
      <formula>NOT(ISERROR(SEARCH("要修正",AF62)))</formula>
    </cfRule>
  </conditionalFormatting>
  <conditionalFormatting sqref="Z67:AC67">
    <cfRule type="containsText" dxfId="21" priority="7" operator="containsText" text="×">
      <formula>NOT(ISERROR(SEARCH("×",Z67)))</formula>
    </cfRule>
  </conditionalFormatting>
  <conditionalFormatting sqref="AD67:AU67">
    <cfRule type="containsText" dxfId="20" priority="6" operator="containsText" text="要修正">
      <formula>NOT(ISERROR(SEARCH("要修正",AD67)))</formula>
    </cfRule>
  </conditionalFormatting>
  <conditionalFormatting sqref="B64:AU64">
    <cfRule type="containsText" dxfId="19" priority="5" operator="containsText" text="×">
      <formula>NOT(ISERROR(SEARCH("×",B64)))</formula>
    </cfRule>
  </conditionalFormatting>
  <conditionalFormatting sqref="AD74:AE75">
    <cfRule type="containsText" dxfId="18" priority="4" operator="containsText" text="×">
      <formula>NOT(ISERROR(SEARCH("×",AD74)))</formula>
    </cfRule>
  </conditionalFormatting>
  <conditionalFormatting sqref="AF74:AU75">
    <cfRule type="containsText" dxfId="17" priority="1" operator="containsText" text="要修正">
      <formula>NOT(ISERROR(SEARCH("要修正",AF74)))</formula>
    </cfRule>
  </conditionalFormatting>
  <dataValidations count="1">
    <dataValidation type="list" allowBlank="1" showInputMessage="1" showErrorMessage="1" sqref="B79:F85" xr:uid="{8F126B2E-D01F-478C-86B6-F3B2C82D4C3D}">
      <formula1>$AY$78:$AY$80</formula1>
    </dataValidation>
  </dataValidations>
  <pageMargins left="0.7" right="0.7" top="0.75" bottom="0.75" header="0.3" footer="0.3"/>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テーブル</vt:lpstr>
      <vt:lpstr>はじめに入力してください</vt:lpstr>
      <vt:lpstr>基本情報</vt:lpstr>
      <vt:lpstr>振込先情報</vt:lpstr>
      <vt:lpstr>事前協議書</vt:lpstr>
      <vt:lpstr>表紙</vt:lpstr>
      <vt:lpstr>経費書</vt:lpstr>
      <vt:lpstr>額内訳書</vt:lpstr>
      <vt:lpstr>看板</vt:lpstr>
      <vt:lpstr>HP</vt:lpstr>
      <vt:lpstr>医療機器・サーモ・換気設備</vt:lpstr>
      <vt:lpstr>歳入歳出抄本</vt:lpstr>
      <vt:lpstr>審査意見書</vt:lpstr>
      <vt:lpstr>HP!Print_Area</vt:lpstr>
      <vt:lpstr>はじめに入力してください!Print_Area</vt:lpstr>
      <vt:lpstr>医療機器・サーモ・換気設備!Print_Area</vt:lpstr>
      <vt:lpstr>額内訳書!Print_Area</vt:lpstr>
      <vt:lpstr>看板!Print_Area</vt:lpstr>
      <vt:lpstr>基本情報!Print_Area</vt:lpstr>
      <vt:lpstr>経費書!Print_Area</vt:lpstr>
      <vt:lpstr>歳入歳出抄本!Print_Area</vt:lpstr>
      <vt:lpstr>事前協議書!Print_Area</vt:lpstr>
      <vt:lpstr>審査意見書!Print_Area</vt:lpstr>
      <vt:lpstr>振込先情報!Print_Area</vt:lpstr>
      <vt:lpstr>表紙!Print_Area</vt:lpstr>
      <vt:lpstr>額内訳書!Print_Titles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2023-07-11T07:07:19Z</cp:lastPrinted>
  <dcterms:created xsi:type="dcterms:W3CDTF">2021-01-14T08:33:35Z</dcterms:created>
  <dcterms:modified xsi:type="dcterms:W3CDTF">2023-07-13T05:13:29Z</dcterms:modified>
</cp:coreProperties>
</file>