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460BCB6E-D3DD-4B77-823E-9662717A89D7}" xr6:coauthVersionLast="47" xr6:coauthVersionMax="47" xr10:uidLastSave="{00000000-0000-0000-0000-000000000000}"/>
  <bookViews>
    <workbookView xWindow="-120" yWindow="-120" windowWidth="29040" windowHeight="15720" tabRatio="843" xr2:uid="{43367FC7-2FE6-442E-855E-70ECD202CD1C}"/>
  </bookViews>
  <sheets>
    <sheet name="データ入力" sheetId="7" r:id="rId1"/>
    <sheet name="通水量" sheetId="6" r:id="rId2"/>
    <sheet name="市街化区域" sheetId="2" r:id="rId3"/>
    <sheet name="調整区域" sheetId="3" r:id="rId4"/>
    <sheet name="抑制対策必要の場合→" sheetId="13" r:id="rId5"/>
    <sheet name="抑制対策量計算(市街化区域)" sheetId="14" r:id="rId6"/>
    <sheet name="抑制対策量計算(調整区域)" sheetId="15" r:id="rId7"/>
    <sheet name="①透水性舗装対策量" sheetId="8" r:id="rId8"/>
    <sheet name="②浸透ﾄﾚﾝﾁ、浸透側溝抑制対策量計算" sheetId="11" r:id="rId9"/>
    <sheet name="③浸透ます(正方形)対策量" sheetId="9" r:id="rId10"/>
    <sheet name="④浸透ます(円形)対策量 " sheetId="12" r:id="rId11"/>
  </sheets>
  <definedNames>
    <definedName name="_xlnm._FilterDatabase" localSheetId="2" hidden="1">市街化区域!$M$34:$M$35</definedName>
    <definedName name="_xlnm._FilterDatabase" localSheetId="3" hidden="1">調整区域!$N$36:$N$37</definedName>
    <definedName name="_xlnm.Print_Area" localSheetId="7">①透水性舗装対策量!$A:$L</definedName>
    <definedName name="_xlnm.Print_Area" localSheetId="8">'②浸透ﾄﾚﾝﾁ、浸透側溝抑制対策量計算'!$A:$L</definedName>
    <definedName name="_xlnm.Print_Area" localSheetId="9">'③浸透ます(正方形)対策量'!$A:$K</definedName>
    <definedName name="_xlnm.Print_Area" localSheetId="10">'④浸透ます(円形)対策量 '!$A:$K</definedName>
    <definedName name="_xlnm.Print_Area" localSheetId="0">データ入力!$A$1:$O$49</definedName>
    <definedName name="_xlnm.Print_Area" localSheetId="2">市街化区域!$A$1:$W$61</definedName>
    <definedName name="_xlnm.Print_Area" localSheetId="3">調整区域!$A$1:$AT$61</definedName>
    <definedName name="_xlnm.Print_Area" localSheetId="1">通水量!$A$1:$W$37</definedName>
    <definedName name="_xlnm.Print_Area" localSheetId="5">'抑制対策量計算(市街化区域)'!$A$1:$X$47</definedName>
    <definedName name="_xlnm.Print_Area" localSheetId="6">'抑制対策量計算(調整区域)'!$A$1:$X$45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7" l="1"/>
  <c r="J23" i="7"/>
  <c r="K8" i="7"/>
  <c r="K7" i="7"/>
  <c r="K9" i="7"/>
  <c r="K23" i="7" l="1"/>
  <c r="K24" i="7" s="1"/>
  <c r="D22" i="7" s="1"/>
  <c r="T14" i="6"/>
  <c r="F25" i="6" s="1"/>
  <c r="M16" i="6"/>
  <c r="D33" i="6" s="1"/>
  <c r="M15" i="6"/>
  <c r="H24" i="6" s="1"/>
  <c r="H27" i="6" s="1"/>
  <c r="J27" i="6" s="1"/>
  <c r="M14" i="6"/>
  <c r="F24" i="6" s="1"/>
  <c r="E40" i="12"/>
  <c r="E45" i="12" s="1"/>
  <c r="E50" i="12" s="1"/>
  <c r="E24" i="8"/>
  <c r="E21" i="8" s="1"/>
  <c r="E27" i="8" s="1"/>
  <c r="E30" i="8" s="1"/>
  <c r="AM40" i="3"/>
  <c r="D38" i="7"/>
  <c r="I48" i="2" s="1"/>
  <c r="E41" i="11"/>
  <c r="E44" i="11"/>
  <c r="E38" i="11" s="1"/>
  <c r="U24" i="15" s="1"/>
  <c r="E33" i="8"/>
  <c r="U25" i="14" s="1"/>
  <c r="M48" i="7"/>
  <c r="P45" i="3"/>
  <c r="AN15" i="3"/>
  <c r="AP15" i="3"/>
  <c r="AN16" i="3"/>
  <c r="AP16" i="3"/>
  <c r="AN17" i="3"/>
  <c r="AP17" i="3"/>
  <c r="AN18" i="3"/>
  <c r="AP18" i="3" s="1"/>
  <c r="AN19" i="3"/>
  <c r="AP19" i="3" s="1"/>
  <c r="AN20" i="3"/>
  <c r="AP20" i="3" s="1"/>
  <c r="AN21" i="3"/>
  <c r="AP21" i="3" s="1"/>
  <c r="AN22" i="3"/>
  <c r="AP22" i="3" s="1"/>
  <c r="AN23" i="3"/>
  <c r="AP23" i="3" s="1"/>
  <c r="AN24" i="3"/>
  <c r="AP24" i="3" s="1"/>
  <c r="AN11" i="3"/>
  <c r="AP11" i="3"/>
  <c r="N33" i="7"/>
  <c r="AN14" i="3"/>
  <c r="AP14" i="3"/>
  <c r="AN13" i="3"/>
  <c r="AP13" i="3"/>
  <c r="AN12" i="3"/>
  <c r="AP12" i="3"/>
  <c r="AN10" i="3"/>
  <c r="AP10" i="3" s="1"/>
  <c r="AN9" i="3"/>
  <c r="AP9" i="3"/>
  <c r="AN8" i="3"/>
  <c r="AP8" i="3" s="1"/>
  <c r="AN7" i="3"/>
  <c r="AP7" i="3"/>
  <c r="AN6" i="3"/>
  <c r="AP6" i="3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2" i="7"/>
  <c r="N31" i="7"/>
  <c r="N30" i="7"/>
  <c r="N29" i="7"/>
  <c r="N28" i="7"/>
  <c r="H32" i="3"/>
  <c r="AM37" i="3" s="1"/>
  <c r="Q32" i="3"/>
  <c r="Q36" i="3"/>
  <c r="AK44" i="3" s="1"/>
  <c r="AJ38" i="3"/>
  <c r="AJ37" i="3"/>
  <c r="G2" i="7"/>
  <c r="D15" i="7"/>
  <c r="E40" i="9"/>
  <c r="E45" i="9" s="1"/>
  <c r="E50" i="9" s="1"/>
  <c r="E21" i="12"/>
  <c r="E18" i="12"/>
  <c r="E15" i="12"/>
  <c r="E12" i="12" s="1"/>
  <c r="E26" i="12" s="1"/>
  <c r="E32" i="12" s="1"/>
  <c r="E57" i="12" s="1"/>
  <c r="E21" i="9"/>
  <c r="E18" i="9"/>
  <c r="E15" i="9"/>
  <c r="E12" i="9" s="1"/>
  <c r="E26" i="9" s="1"/>
  <c r="E32" i="9" s="1"/>
  <c r="E57" i="9" s="1"/>
  <c r="T13" i="14"/>
  <c r="G9" i="14" s="1"/>
  <c r="G10" i="14" s="1"/>
  <c r="E14" i="11"/>
  <c r="E29" i="11" s="1"/>
  <c r="E26" i="11" s="1"/>
  <c r="E32" i="11" s="1"/>
  <c r="E35" i="11" s="1"/>
  <c r="M7" i="7"/>
  <c r="D12" i="7"/>
  <c r="M8" i="7"/>
  <c r="M9" i="7"/>
  <c r="M10" i="7"/>
  <c r="G45" i="3"/>
  <c r="AM39" i="3"/>
  <c r="AO39" i="3" s="1"/>
  <c r="M35" i="2"/>
  <c r="P48" i="2"/>
  <c r="T14" i="14" s="1"/>
  <c r="AJ39" i="3"/>
  <c r="AJ40" i="3"/>
  <c r="M48" i="2"/>
  <c r="K22" i="7"/>
  <c r="M22" i="7"/>
  <c r="K21" i="7"/>
  <c r="K20" i="7"/>
  <c r="K19" i="7"/>
  <c r="K18" i="7"/>
  <c r="K17" i="7"/>
  <c r="M21" i="7"/>
  <c r="M20" i="7"/>
  <c r="M19" i="7"/>
  <c r="M18" i="7"/>
  <c r="M17" i="7"/>
  <c r="M16" i="7"/>
  <c r="M15" i="7"/>
  <c r="M14" i="7"/>
  <c r="M13" i="7"/>
  <c r="M12" i="7"/>
  <c r="M11" i="7"/>
  <c r="K16" i="7"/>
  <c r="K15" i="7"/>
  <c r="K14" i="7"/>
  <c r="K13" i="7"/>
  <c r="K12" i="7"/>
  <c r="K11" i="7"/>
  <c r="K10" i="7"/>
  <c r="E48" i="2"/>
  <c r="AJ44" i="3"/>
  <c r="C36" i="3"/>
  <c r="D42" i="7"/>
  <c r="D11" i="7"/>
  <c r="E42" i="12" l="1"/>
  <c r="E42" i="9"/>
  <c r="E52" i="9" s="1"/>
  <c r="E60" i="9" s="1"/>
  <c r="F28" i="6"/>
  <c r="L28" i="6" s="1"/>
  <c r="L25" i="6"/>
  <c r="AO40" i="3"/>
  <c r="L48" i="7"/>
  <c r="D33" i="7" s="1"/>
  <c r="AJ41" i="3" s="1"/>
  <c r="D25" i="7"/>
  <c r="AM41" i="3" s="1"/>
  <c r="L23" i="7"/>
  <c r="D48" i="7" s="1"/>
  <c r="M20" i="6" s="1"/>
  <c r="H33" i="6" s="1"/>
  <c r="R41" i="3"/>
  <c r="AM38" i="3" s="1"/>
  <c r="AO38" i="3" s="1"/>
  <c r="AP26" i="3"/>
  <c r="AH44" i="3"/>
  <c r="AO44" i="3" s="1"/>
  <c r="I36" i="3"/>
  <c r="E43" i="2"/>
  <c r="M30" i="2" s="1"/>
  <c r="I13" i="14" s="1"/>
  <c r="Q23" i="15"/>
  <c r="Q25" i="14"/>
  <c r="E52" i="12"/>
  <c r="E60" i="12" s="1"/>
  <c r="F27" i="6"/>
  <c r="L27" i="6" s="1"/>
  <c r="H30" i="6" s="1"/>
  <c r="L24" i="6"/>
  <c r="F30" i="6" s="1"/>
  <c r="Q25" i="15"/>
  <c r="Q27" i="14"/>
  <c r="Q24" i="15"/>
  <c r="Q26" i="14"/>
  <c r="Q28" i="14"/>
  <c r="Q26" i="15"/>
  <c r="AO37" i="3"/>
  <c r="E38" i="14"/>
  <c r="E47" i="11"/>
  <c r="AN26" i="3"/>
  <c r="E36" i="8"/>
  <c r="U23" i="15"/>
  <c r="U26" i="14"/>
  <c r="G41" i="3"/>
  <c r="I35" i="2"/>
  <c r="E35" i="2"/>
  <c r="M41" i="3"/>
  <c r="U27" i="14" l="1"/>
  <c r="U25" i="15"/>
  <c r="AP28" i="3"/>
  <c r="AO41" i="3"/>
  <c r="AO45" i="3" s="1"/>
  <c r="AK47" i="3" s="1"/>
  <c r="AL54" i="3" s="1"/>
  <c r="U26" i="15"/>
  <c r="U28" i="14"/>
  <c r="Q32" i="14"/>
  <c r="L30" i="6"/>
  <c r="F33" i="6" s="1"/>
  <c r="J33" i="6" s="1"/>
  <c r="F36" i="6" s="1"/>
  <c r="H36" i="6" s="1"/>
  <c r="N35" i="6" s="1"/>
  <c r="E30" i="2" s="1"/>
  <c r="D36" i="6"/>
  <c r="Q30" i="15"/>
  <c r="U30" i="15" l="1"/>
  <c r="O36" i="15" s="1"/>
  <c r="U32" i="14"/>
  <c r="O38" i="14" s="1"/>
  <c r="AH54" i="3"/>
  <c r="AH59" i="3" s="1"/>
  <c r="I12" i="15"/>
  <c r="G7" i="15" s="1"/>
  <c r="M43" i="14" l="1"/>
  <c r="B43" i="14"/>
  <c r="S41" i="14"/>
  <c r="K54" i="2"/>
  <c r="E58" i="2" s="1"/>
  <c r="I14" i="14"/>
  <c r="T12" i="15"/>
  <c r="J7" i="15" s="1"/>
  <c r="G8" i="15" s="1"/>
  <c r="G9" i="15" s="1"/>
  <c r="AK54" i="3"/>
  <c r="M41" i="15" l="1"/>
  <c r="B41" i="15"/>
  <c r="S39" i="15"/>
  <c r="E36" i="15"/>
</calcChain>
</file>

<file path=xl/sharedStrings.xml><?xml version="1.0" encoding="utf-8"?>
<sst xmlns="http://schemas.openxmlformats.org/spreadsheetml/2006/main" count="961" uniqueCount="482">
  <si>
    <t>平均流出係数の計算</t>
    <rPh sb="0" eb="2">
      <t>ヘイキン</t>
    </rPh>
    <rPh sb="2" eb="4">
      <t>リュウシュツ</t>
    </rPh>
    <rPh sb="4" eb="6">
      <t>ケイスウ</t>
    </rPh>
    <rPh sb="7" eb="9">
      <t>ケイサン</t>
    </rPh>
    <phoneticPr fontId="2"/>
  </si>
  <si>
    <t>地表面の種類</t>
    <rPh sb="0" eb="2">
      <t>チヒョウ</t>
    </rPh>
    <rPh sb="2" eb="3">
      <t>メン</t>
    </rPh>
    <rPh sb="4" eb="6">
      <t>シュルイ</t>
    </rPh>
    <phoneticPr fontId="2"/>
  </si>
  <si>
    <t>標準流出係数</t>
    <rPh sb="0" eb="2">
      <t>ヒョウジュン</t>
    </rPh>
    <rPh sb="2" eb="4">
      <t>リュウシュツ</t>
    </rPh>
    <rPh sb="4" eb="6">
      <t>ケイスウ</t>
    </rPh>
    <phoneticPr fontId="2"/>
  </si>
  <si>
    <t>面積</t>
    <rPh sb="0" eb="2">
      <t>メンセキ</t>
    </rPh>
    <phoneticPr fontId="2"/>
  </si>
  <si>
    <t>舗装道</t>
    <rPh sb="0" eb="2">
      <t>ホソウ</t>
    </rPh>
    <rPh sb="2" eb="3">
      <t>ドウ</t>
    </rPh>
    <phoneticPr fontId="2"/>
  </si>
  <si>
    <t>砂利道</t>
    <rPh sb="0" eb="2">
      <t>ジャリ</t>
    </rPh>
    <rPh sb="2" eb="3">
      <t>ドウ</t>
    </rPh>
    <phoneticPr fontId="2"/>
  </si>
  <si>
    <t>路面</t>
    <rPh sb="0" eb="2">
      <t>ロメン</t>
    </rPh>
    <phoneticPr fontId="2"/>
  </si>
  <si>
    <t>法面・路肩</t>
    <rPh sb="3" eb="4">
      <t>ロ</t>
    </rPh>
    <rPh sb="4" eb="5">
      <t>カタ</t>
    </rPh>
    <phoneticPr fontId="2"/>
  </si>
  <si>
    <t>土</t>
    <rPh sb="0" eb="1">
      <t>ツチ</t>
    </rPh>
    <phoneticPr fontId="2"/>
  </si>
  <si>
    <t>岩盤</t>
    <rPh sb="0" eb="2">
      <t>ガンバン</t>
    </rPh>
    <phoneticPr fontId="2"/>
  </si>
  <si>
    <t>芝地（砂質土）</t>
    <rPh sb="0" eb="2">
      <t>シバチ</t>
    </rPh>
    <rPh sb="3" eb="4">
      <t>サ</t>
    </rPh>
    <rPh sb="4" eb="5">
      <t>シツ</t>
    </rPh>
    <rPh sb="5" eb="6">
      <t>ド</t>
    </rPh>
    <phoneticPr fontId="2"/>
  </si>
  <si>
    <t>勾配０～２％</t>
    <rPh sb="0" eb="2">
      <t>コウバイ</t>
    </rPh>
    <phoneticPr fontId="2"/>
  </si>
  <si>
    <t>勾配２～７％</t>
    <rPh sb="0" eb="2">
      <t>コウバイ</t>
    </rPh>
    <phoneticPr fontId="2"/>
  </si>
  <si>
    <t>勾配７％以上</t>
    <rPh sb="0" eb="2">
      <t>コウバイ</t>
    </rPh>
    <rPh sb="4" eb="6">
      <t>イジョウ</t>
    </rPh>
    <phoneticPr fontId="2"/>
  </si>
  <si>
    <t>芝地（粘性土）</t>
    <rPh sb="0" eb="2">
      <t>シバチ</t>
    </rPh>
    <rPh sb="3" eb="5">
      <t>ネンセイ</t>
    </rPh>
    <rPh sb="5" eb="6">
      <t>ド</t>
    </rPh>
    <phoneticPr fontId="2"/>
  </si>
  <si>
    <t>屋根</t>
    <rPh sb="0" eb="2">
      <t>ヤネ</t>
    </rPh>
    <phoneticPr fontId="2"/>
  </si>
  <si>
    <t>間地</t>
    <rPh sb="0" eb="1">
      <t>カン</t>
    </rPh>
    <rPh sb="1" eb="2">
      <t>チ</t>
    </rPh>
    <phoneticPr fontId="2"/>
  </si>
  <si>
    <t>芝、樹林の多い公園</t>
    <rPh sb="0" eb="1">
      <t>シバ</t>
    </rPh>
    <rPh sb="2" eb="3">
      <t>ジュ</t>
    </rPh>
    <rPh sb="3" eb="4">
      <t>リン</t>
    </rPh>
    <rPh sb="5" eb="6">
      <t>オオ</t>
    </rPh>
    <rPh sb="7" eb="9">
      <t>コウエン</t>
    </rPh>
    <phoneticPr fontId="2"/>
  </si>
  <si>
    <t>勾配の緩い山地</t>
    <rPh sb="0" eb="2">
      <t>コウバイ</t>
    </rPh>
    <rPh sb="3" eb="4">
      <t>ユル</t>
    </rPh>
    <rPh sb="5" eb="7">
      <t>サンチ</t>
    </rPh>
    <phoneticPr fontId="2"/>
  </si>
  <si>
    <t>勾配の急な山地</t>
    <rPh sb="0" eb="2">
      <t>コウバイ</t>
    </rPh>
    <rPh sb="3" eb="4">
      <t>キュウ</t>
    </rPh>
    <rPh sb="5" eb="7">
      <t>サンチ</t>
    </rPh>
    <phoneticPr fontId="2"/>
  </si>
  <si>
    <t>田、水面</t>
    <rPh sb="0" eb="1">
      <t>タ</t>
    </rPh>
    <rPh sb="2" eb="4">
      <t>スイメン</t>
    </rPh>
    <phoneticPr fontId="2"/>
  </si>
  <si>
    <t>畑</t>
    <rPh sb="0" eb="1">
      <t>ハタ</t>
    </rPh>
    <phoneticPr fontId="2"/>
  </si>
  <si>
    <t>合計　　　　　　（Σ）</t>
    <rPh sb="0" eb="2">
      <t>ゴウケイ</t>
    </rPh>
    <phoneticPr fontId="2"/>
  </si>
  <si>
    <t>平均流出係数　（C)</t>
    <rPh sb="0" eb="2">
      <t>ヘイキン</t>
    </rPh>
    <rPh sb="2" eb="4">
      <t>リュウシュツ</t>
    </rPh>
    <rPh sb="4" eb="6">
      <t>ケイスウ</t>
    </rPh>
    <phoneticPr fontId="2"/>
  </si>
  <si>
    <t>平均流出係数（C)の計算式  =</t>
    <rPh sb="10" eb="12">
      <t>ケイサン</t>
    </rPh>
    <rPh sb="12" eb="13">
      <t>シキ</t>
    </rPh>
    <phoneticPr fontId="2"/>
  </si>
  <si>
    <t>Q  =</t>
    <phoneticPr fontId="2"/>
  </si>
  <si>
    <t>係数</t>
    <rPh sb="0" eb="2">
      <t>ケイスウ</t>
    </rPh>
    <phoneticPr fontId="2"/>
  </si>
  <si>
    <t>平均流出係数</t>
    <rPh sb="0" eb="2">
      <t>ヘイキン</t>
    </rPh>
    <rPh sb="2" eb="4">
      <t>リュウシュツ</t>
    </rPh>
    <rPh sb="4" eb="6">
      <t>ケイスウ</t>
    </rPh>
    <phoneticPr fontId="2"/>
  </si>
  <si>
    <t>流域面積</t>
    <rPh sb="0" eb="1">
      <t>リュウ</t>
    </rPh>
    <rPh sb="1" eb="2">
      <t>イキ</t>
    </rPh>
    <rPh sb="2" eb="4">
      <t>メンセキ</t>
    </rPh>
    <phoneticPr fontId="2"/>
  </si>
  <si>
    <t>降雨強度</t>
    <rPh sb="0" eb="4">
      <t>コウウキョウド</t>
    </rPh>
    <phoneticPr fontId="2"/>
  </si>
  <si>
    <t>合計</t>
    <rPh sb="0" eb="2">
      <t>ゴウケイ</t>
    </rPh>
    <phoneticPr fontId="2"/>
  </si>
  <si>
    <t>宅地</t>
    <rPh sb="0" eb="2">
      <t>タクチ</t>
    </rPh>
    <phoneticPr fontId="2"/>
  </si>
  <si>
    <t>建ぺい率６０％</t>
    <rPh sb="0" eb="1">
      <t>ケン</t>
    </rPh>
    <rPh sb="3" eb="4">
      <t>リツ</t>
    </rPh>
    <phoneticPr fontId="2"/>
  </si>
  <si>
    <t>建ぺい率８０％</t>
    <rPh sb="0" eb="1">
      <t>ケン</t>
    </rPh>
    <rPh sb="3" eb="4">
      <t>リツ</t>
    </rPh>
    <phoneticPr fontId="2"/>
  </si>
  <si>
    <t>延長</t>
    <rPh sb="0" eb="2">
      <t>エンチョウ</t>
    </rPh>
    <phoneticPr fontId="2"/>
  </si>
  <si>
    <t>X   C</t>
    <phoneticPr fontId="2"/>
  </si>
  <si>
    <t>X   I</t>
    <phoneticPr fontId="2"/>
  </si>
  <si>
    <t>X    a</t>
    <phoneticPr fontId="2"/>
  </si>
  <si>
    <t>幅員をそのまま入力</t>
    <rPh sb="0" eb="2">
      <t>フクイン</t>
    </rPh>
    <rPh sb="7" eb="9">
      <t>ニュウリョク</t>
    </rPh>
    <phoneticPr fontId="2"/>
  </si>
  <si>
    <t>Q　：　通水量（ｍ3/sec)</t>
    <rPh sb="4" eb="5">
      <t>ツウ</t>
    </rPh>
    <rPh sb="5" eb="7">
      <t>スイリョウ</t>
    </rPh>
    <phoneticPr fontId="2"/>
  </si>
  <si>
    <t>Q　=  A ・V</t>
    <phoneticPr fontId="2"/>
  </si>
  <si>
    <t>V　：　平均流速（ｍ/sec)</t>
    <rPh sb="4" eb="6">
      <t>ヘイキン</t>
    </rPh>
    <rPh sb="6" eb="8">
      <t>リュウソク</t>
    </rPh>
    <phoneticPr fontId="2"/>
  </si>
  <si>
    <t>A　：　通水断面（㎡)</t>
    <rPh sb="4" eb="5">
      <t>ツウ</t>
    </rPh>
    <rPh sb="5" eb="6">
      <t>スイ</t>
    </rPh>
    <rPh sb="6" eb="8">
      <t>ダンメン</t>
    </rPh>
    <phoneticPr fontId="2"/>
  </si>
  <si>
    <t>V=</t>
    <phoneticPr fontId="2"/>
  </si>
  <si>
    <t>ｎ　：　粗度係数</t>
    <rPh sb="4" eb="5">
      <t>ソ</t>
    </rPh>
    <rPh sb="5" eb="6">
      <t>ド</t>
    </rPh>
    <rPh sb="6" eb="8">
      <t>ケイスウ</t>
    </rPh>
    <phoneticPr fontId="2"/>
  </si>
  <si>
    <t>R　：　径深（A/P)</t>
    <rPh sb="4" eb="5">
      <t>ケイ</t>
    </rPh>
    <rPh sb="5" eb="6">
      <t>シン</t>
    </rPh>
    <phoneticPr fontId="2"/>
  </si>
  <si>
    <t>I  ：　水面勾配</t>
    <rPh sb="5" eb="7">
      <t>スイメン</t>
    </rPh>
    <rPh sb="7" eb="9">
      <t>コウバイ</t>
    </rPh>
    <phoneticPr fontId="2"/>
  </si>
  <si>
    <t>入力条件</t>
    <rPh sb="0" eb="2">
      <t>ニュウリョク</t>
    </rPh>
    <rPh sb="2" eb="4">
      <t>ジョウケン</t>
    </rPh>
    <phoneticPr fontId="2"/>
  </si>
  <si>
    <t>ｍ</t>
    <phoneticPr fontId="2"/>
  </si>
  <si>
    <t>現場打コンクリートの場合</t>
    <rPh sb="0" eb="2">
      <t>ゲンバ</t>
    </rPh>
    <rPh sb="2" eb="3">
      <t>ウ</t>
    </rPh>
    <rPh sb="10" eb="12">
      <t>バアイ</t>
    </rPh>
    <phoneticPr fontId="2"/>
  </si>
  <si>
    <t>どちらかの数字を粗度係数に入力</t>
    <rPh sb="5" eb="7">
      <t>スウジ</t>
    </rPh>
    <rPh sb="8" eb="9">
      <t>ソ</t>
    </rPh>
    <rPh sb="9" eb="10">
      <t>ド</t>
    </rPh>
    <rPh sb="10" eb="12">
      <t>ケイスウ</t>
    </rPh>
    <rPh sb="13" eb="15">
      <t>ニュウリョク</t>
    </rPh>
    <phoneticPr fontId="2"/>
  </si>
  <si>
    <t>通水断面</t>
    <rPh sb="0" eb="2">
      <t>ツウスイ</t>
    </rPh>
    <rPh sb="2" eb="4">
      <t>ダンメン</t>
    </rPh>
    <phoneticPr fontId="2"/>
  </si>
  <si>
    <t>通水量計算</t>
    <rPh sb="0" eb="2">
      <t>ツウスイ</t>
    </rPh>
    <rPh sb="2" eb="3">
      <t>リョウ</t>
    </rPh>
    <rPh sb="3" eb="5">
      <t>ケイサン</t>
    </rPh>
    <phoneticPr fontId="2"/>
  </si>
  <si>
    <t>A</t>
    <phoneticPr fontId="2"/>
  </si>
  <si>
    <t>潤辺長</t>
    <phoneticPr fontId="2"/>
  </si>
  <si>
    <t>P</t>
    <phoneticPr fontId="2"/>
  </si>
  <si>
    <t>径深</t>
    <phoneticPr fontId="2"/>
  </si>
  <si>
    <t>平均流速</t>
    <rPh sb="0" eb="2">
      <t>ヘイキン</t>
    </rPh>
    <rPh sb="2" eb="4">
      <t>リュウソク</t>
    </rPh>
    <phoneticPr fontId="2"/>
  </si>
  <si>
    <t>R</t>
    <phoneticPr fontId="2"/>
  </si>
  <si>
    <t>V</t>
    <phoneticPr fontId="2"/>
  </si>
  <si>
    <t>A</t>
    <phoneticPr fontId="2"/>
  </si>
  <si>
    <t>Q</t>
    <phoneticPr fontId="2"/>
  </si>
  <si>
    <t>通水量</t>
    <rPh sb="0" eb="2">
      <t>ツウスイ</t>
    </rPh>
    <rPh sb="2" eb="3">
      <t>リョウ</t>
    </rPh>
    <phoneticPr fontId="2"/>
  </si>
  <si>
    <t>判定</t>
    <rPh sb="0" eb="2">
      <t>ハンテイ</t>
    </rPh>
    <phoneticPr fontId="2"/>
  </si>
  <si>
    <t>平均流速が３ｍ/sec以上の場合検討が必要</t>
    <rPh sb="0" eb="2">
      <t>ヘイキン</t>
    </rPh>
    <rPh sb="2" eb="4">
      <t>リュウソク</t>
    </rPh>
    <rPh sb="11" eb="13">
      <t>イジョウ</t>
    </rPh>
    <rPh sb="14" eb="16">
      <t>バアイ</t>
    </rPh>
    <rPh sb="16" eb="18">
      <t>ケントウ</t>
    </rPh>
    <rPh sb="19" eb="21">
      <t>ヒツヨウ</t>
    </rPh>
    <phoneticPr fontId="2"/>
  </si>
  <si>
    <t>　　手引きP５－６表2.7参照</t>
    <rPh sb="2" eb="4">
      <t>テビ</t>
    </rPh>
    <rPh sb="9" eb="10">
      <t>ヒョウ</t>
    </rPh>
    <rPh sb="13" eb="15">
      <t>サンショウ</t>
    </rPh>
    <phoneticPr fontId="2"/>
  </si>
  <si>
    <t>この記号（＞）を満足すればOKとなる。</t>
    <rPh sb="2" eb="4">
      <t>キゴウ</t>
    </rPh>
    <rPh sb="8" eb="10">
      <t>マンゾク</t>
    </rPh>
    <phoneticPr fontId="2"/>
  </si>
  <si>
    <t>流域図</t>
    <rPh sb="0" eb="2">
      <t>リュウイキ</t>
    </rPh>
    <rPh sb="2" eb="3">
      <t>ズ</t>
    </rPh>
    <phoneticPr fontId="2"/>
  </si>
  <si>
    <t>％で入力</t>
    <rPh sb="2" eb="4">
      <t>ニュウリョク</t>
    </rPh>
    <phoneticPr fontId="2"/>
  </si>
  <si>
    <t>h</t>
    <phoneticPr fontId="2"/>
  </si>
  <si>
    <t>b</t>
    <phoneticPr fontId="2"/>
  </si>
  <si>
    <t>b</t>
    <phoneticPr fontId="2"/>
  </si>
  <si>
    <t>h</t>
    <phoneticPr fontId="2"/>
  </si>
  <si>
    <t>hx2</t>
    <phoneticPr fontId="2"/>
  </si>
  <si>
    <t>×</t>
    <phoneticPr fontId="2"/>
  </si>
  <si>
    <t>安全率</t>
    <rPh sb="0" eb="2">
      <t>アンゼン</t>
    </rPh>
    <rPh sb="2" eb="3">
      <t>リツ</t>
    </rPh>
    <phoneticPr fontId="2"/>
  </si>
  <si>
    <t>=</t>
    <phoneticPr fontId="2"/>
  </si>
  <si>
    <t>　</t>
    <phoneticPr fontId="2"/>
  </si>
  <si>
    <t>道路幅員　Ｗ</t>
    <rPh sb="0" eb="2">
      <t>ドウロ</t>
    </rPh>
    <rPh sb="2" eb="4">
      <t>フクイン</t>
    </rPh>
    <phoneticPr fontId="2"/>
  </si>
  <si>
    <t>延長　Ｌ</t>
    <rPh sb="0" eb="2">
      <t>エンチョウ</t>
    </rPh>
    <phoneticPr fontId="2"/>
  </si>
  <si>
    <t>Ｂ　＝</t>
    <phoneticPr fontId="2"/>
  </si>
  <si>
    <t>b</t>
    <phoneticPr fontId="2"/>
  </si>
  <si>
    <t>1/3600000</t>
    <phoneticPr fontId="2"/>
  </si>
  <si>
    <t>日平均汚水量</t>
    <rPh sb="0" eb="1">
      <t>ニチ</t>
    </rPh>
    <rPh sb="1" eb="3">
      <t>ヘイキン</t>
    </rPh>
    <rPh sb="3" eb="5">
      <t>オスイ</t>
    </rPh>
    <rPh sb="5" eb="6">
      <t>リョウ</t>
    </rPh>
    <phoneticPr fontId="2"/>
  </si>
  <si>
    <t>申請地</t>
    <rPh sb="0" eb="2">
      <t>シンセイ</t>
    </rPh>
    <rPh sb="2" eb="3">
      <t>チ</t>
    </rPh>
    <phoneticPr fontId="2"/>
  </si>
  <si>
    <t>間口</t>
    <rPh sb="0" eb="2">
      <t>マグチ</t>
    </rPh>
    <phoneticPr fontId="2"/>
  </si>
  <si>
    <t>α　＝</t>
    <phoneticPr fontId="2"/>
  </si>
  <si>
    <t>浄化槽</t>
    <rPh sb="0" eb="3">
      <t>ジョウカソウ</t>
    </rPh>
    <phoneticPr fontId="2"/>
  </si>
  <si>
    <t>集水可能な沿道幅超過長</t>
    <rPh sb="0" eb="1">
      <t>シュウ</t>
    </rPh>
    <rPh sb="1" eb="2">
      <t>スイ</t>
    </rPh>
    <rPh sb="2" eb="4">
      <t>カノウ</t>
    </rPh>
    <rPh sb="5" eb="7">
      <t>エンドウ</t>
    </rPh>
    <rPh sb="7" eb="8">
      <t>ハバ</t>
    </rPh>
    <rPh sb="8" eb="10">
      <t>チョウカ</t>
    </rPh>
    <rPh sb="10" eb="11">
      <t>チョウ</t>
    </rPh>
    <phoneticPr fontId="2"/>
  </si>
  <si>
    <t>奥行　ｘ</t>
    <rPh sb="0" eb="2">
      <t>オクユ</t>
    </rPh>
    <phoneticPr fontId="2"/>
  </si>
  <si>
    <t>間口　ｙ</t>
    <rPh sb="0" eb="2">
      <t>マグチ</t>
    </rPh>
    <phoneticPr fontId="2"/>
  </si>
  <si>
    <t>Ｔ　＝</t>
    <phoneticPr fontId="2"/>
  </si>
  <si>
    <t>m</t>
    <phoneticPr fontId="2"/>
  </si>
  <si>
    <t>側溝</t>
    <rPh sb="0" eb="2">
      <t>ソッコウ</t>
    </rPh>
    <phoneticPr fontId="2"/>
  </si>
  <si>
    <t>管渠</t>
    <rPh sb="0" eb="1">
      <t>カン</t>
    </rPh>
    <rPh sb="1" eb="2">
      <t>キョ</t>
    </rPh>
    <phoneticPr fontId="2"/>
  </si>
  <si>
    <t>対策量の計算</t>
    <rPh sb="0" eb="2">
      <t>タイサク</t>
    </rPh>
    <rPh sb="2" eb="3">
      <t>リョウ</t>
    </rPh>
    <rPh sb="4" eb="6">
      <t>ケイサン</t>
    </rPh>
    <phoneticPr fontId="2"/>
  </si>
  <si>
    <t>　　　　排水施設断面（管渠）</t>
    <rPh sb="4" eb="6">
      <t>ハイスイ</t>
    </rPh>
    <rPh sb="6" eb="8">
      <t>シセツ</t>
    </rPh>
    <rPh sb="8" eb="10">
      <t>ダンメン</t>
    </rPh>
    <rPh sb="11" eb="12">
      <t>カン</t>
    </rPh>
    <rPh sb="12" eb="13">
      <t>キョ</t>
    </rPh>
    <phoneticPr fontId="2"/>
  </si>
  <si>
    <t>排水施設断面(側溝）</t>
    <rPh sb="0" eb="2">
      <t>ハイスイ</t>
    </rPh>
    <rPh sb="2" eb="4">
      <t>シセツ</t>
    </rPh>
    <rPh sb="4" eb="6">
      <t>ダンメン</t>
    </rPh>
    <rPh sb="7" eb="9">
      <t>ソッコウ</t>
    </rPh>
    <phoneticPr fontId="2"/>
  </si>
  <si>
    <t>法面</t>
    <rPh sb="0" eb="1">
      <t>ノリ</t>
    </rPh>
    <rPh sb="1" eb="2">
      <t>メン</t>
    </rPh>
    <phoneticPr fontId="2"/>
  </si>
  <si>
    <t>道路区域</t>
    <rPh sb="0" eb="2">
      <t>ドウロ</t>
    </rPh>
    <rPh sb="2" eb="4">
      <t>クイキ</t>
    </rPh>
    <phoneticPr fontId="2"/>
  </si>
  <si>
    <t>1/3600000</t>
  </si>
  <si>
    <t>&gt;</t>
    <phoneticPr fontId="2"/>
  </si>
  <si>
    <t>沿道敷地の流出係数　</t>
    <rPh sb="0" eb="2">
      <t>エンドウ</t>
    </rPh>
    <rPh sb="2" eb="4">
      <t>シキチ</t>
    </rPh>
    <rPh sb="5" eb="7">
      <t>リュウシュツ</t>
    </rPh>
    <rPh sb="7" eb="9">
      <t>ケイスウ</t>
    </rPh>
    <phoneticPr fontId="2"/>
  </si>
  <si>
    <t>1/3600000</t>
    <phoneticPr fontId="2"/>
  </si>
  <si>
    <t>通　　水　　量</t>
    <phoneticPr fontId="2"/>
  </si>
  <si>
    <t>１．流域図</t>
    <rPh sb="2" eb="4">
      <t>リュウイキ</t>
    </rPh>
    <rPh sb="4" eb="5">
      <t>ズ</t>
    </rPh>
    <phoneticPr fontId="2"/>
  </si>
  <si>
    <t>１）申請地からの雨水流入量</t>
    <rPh sb="2" eb="4">
      <t>シンセイ</t>
    </rPh>
    <rPh sb="4" eb="5">
      <t>チ</t>
    </rPh>
    <rPh sb="8" eb="10">
      <t>ウスイ</t>
    </rPh>
    <rPh sb="10" eb="12">
      <t>リュウニュウ</t>
    </rPh>
    <rPh sb="12" eb="13">
      <t>リョウ</t>
    </rPh>
    <phoneticPr fontId="2"/>
  </si>
  <si>
    <t>（申請地Ⅰ・Ⅱ共に）</t>
    <rPh sb="1" eb="3">
      <t>シンセイ</t>
    </rPh>
    <rPh sb="3" eb="4">
      <t>チ</t>
    </rPh>
    <rPh sb="7" eb="8">
      <t>トモ</t>
    </rPh>
    <phoneticPr fontId="2"/>
  </si>
  <si>
    <t>申請地（A)㎡</t>
    <rPh sb="0" eb="2">
      <t>シンセイ</t>
    </rPh>
    <rPh sb="2" eb="3">
      <t>チ</t>
    </rPh>
    <phoneticPr fontId="2"/>
  </si>
  <si>
    <t>流出係数</t>
    <rPh sb="0" eb="2">
      <t>リュウシュツ</t>
    </rPh>
    <rPh sb="2" eb="4">
      <t>ケイスウ</t>
    </rPh>
    <phoneticPr fontId="2"/>
  </si>
  <si>
    <t>降雨強度</t>
    <rPh sb="0" eb="2">
      <t>コウウ</t>
    </rPh>
    <rPh sb="2" eb="4">
      <t>キョウド</t>
    </rPh>
    <phoneticPr fontId="2"/>
  </si>
  <si>
    <t>人槽</t>
    <rPh sb="0" eb="1">
      <t>ニン</t>
    </rPh>
    <rPh sb="1" eb="2">
      <t>ソウ</t>
    </rPh>
    <phoneticPr fontId="2"/>
  </si>
  <si>
    <t>ｍ３</t>
    <phoneticPr fontId="2"/>
  </si>
  <si>
    <t>㎡</t>
    <phoneticPr fontId="2"/>
  </si>
  <si>
    <t>＝</t>
    <phoneticPr fontId="2"/>
  </si>
  <si>
    <t>３）道路区域からの雨水流入量</t>
    <rPh sb="2" eb="4">
      <t>ドウロ</t>
    </rPh>
    <rPh sb="4" eb="6">
      <t>クイキ</t>
    </rPh>
    <rPh sb="9" eb="11">
      <t>ウスイ</t>
    </rPh>
    <rPh sb="11" eb="13">
      <t>リュウニュウ</t>
    </rPh>
    <rPh sb="13" eb="14">
      <t>リョウ</t>
    </rPh>
    <phoneticPr fontId="2"/>
  </si>
  <si>
    <t>A、路面からの流入量</t>
    <rPh sb="2" eb="4">
      <t>ロメン</t>
    </rPh>
    <rPh sb="7" eb="9">
      <t>リュウニュウ</t>
    </rPh>
    <rPh sb="9" eb="10">
      <t>リョウ</t>
    </rPh>
    <phoneticPr fontId="2"/>
  </si>
  <si>
    <t>全幅員を入力</t>
    <rPh sb="0" eb="1">
      <t>ゼン</t>
    </rPh>
    <rPh sb="1" eb="3">
      <t>フクイン</t>
    </rPh>
    <rPh sb="4" eb="6">
      <t>ニュウリョク</t>
    </rPh>
    <phoneticPr fontId="2"/>
  </si>
  <si>
    <t>面積＝</t>
    <rPh sb="0" eb="2">
      <t>メンセキ</t>
    </rPh>
    <phoneticPr fontId="2"/>
  </si>
  <si>
    <t>道路幅員の１／２を計上</t>
    <rPh sb="0" eb="2">
      <t>ドウロ</t>
    </rPh>
    <rPh sb="2" eb="4">
      <t>フクイン</t>
    </rPh>
    <rPh sb="9" eb="11">
      <t>ケイジョウ</t>
    </rPh>
    <phoneticPr fontId="2"/>
  </si>
  <si>
    <t>Ｂ、法面からの流入量</t>
    <rPh sb="2" eb="3">
      <t>ホウ</t>
    </rPh>
    <rPh sb="3" eb="4">
      <t>メン</t>
    </rPh>
    <rPh sb="7" eb="9">
      <t>リュウニュウ</t>
    </rPh>
    <rPh sb="9" eb="10">
      <t>リョウ</t>
    </rPh>
    <phoneticPr fontId="2"/>
  </si>
  <si>
    <t>（申請地Ⅰだけ）</t>
    <rPh sb="1" eb="3">
      <t>シンセイ</t>
    </rPh>
    <rPh sb="3" eb="4">
      <t>チ</t>
    </rPh>
    <phoneticPr fontId="2"/>
  </si>
  <si>
    <t>４）地形的に想定される集水区域からの雨水流入量（道路区域外）</t>
    <rPh sb="2" eb="5">
      <t>チケイテキ</t>
    </rPh>
    <rPh sb="6" eb="8">
      <t>ソウテイ</t>
    </rPh>
    <rPh sb="11" eb="12">
      <t>シュウ</t>
    </rPh>
    <rPh sb="12" eb="13">
      <t>ミズ</t>
    </rPh>
    <rPh sb="13" eb="15">
      <t>クイキ</t>
    </rPh>
    <rPh sb="18" eb="20">
      <t>ウスイ</t>
    </rPh>
    <rPh sb="20" eb="22">
      <t>リュウニュウ</t>
    </rPh>
    <rPh sb="22" eb="23">
      <t>リョウ</t>
    </rPh>
    <rPh sb="24" eb="26">
      <t>ドウロ</t>
    </rPh>
    <rPh sb="26" eb="28">
      <t>クイキ</t>
    </rPh>
    <rPh sb="28" eb="29">
      <t>ガイ</t>
    </rPh>
    <phoneticPr fontId="2"/>
  </si>
  <si>
    <t>３．流入量の計算</t>
    <rPh sb="2" eb="4">
      <t>リュウニュウ</t>
    </rPh>
    <rPh sb="4" eb="5">
      <t>リョウ</t>
    </rPh>
    <rPh sb="6" eb="8">
      <t>ケイサン</t>
    </rPh>
    <phoneticPr fontId="2"/>
  </si>
  <si>
    <t>２．流入量の条件入力</t>
    <rPh sb="2" eb="4">
      <t>リュウニュウ</t>
    </rPh>
    <rPh sb="4" eb="5">
      <t>リョウ</t>
    </rPh>
    <rPh sb="6" eb="8">
      <t>ジョウケン</t>
    </rPh>
    <rPh sb="8" eb="10">
      <t>ニュウリョク</t>
    </rPh>
    <phoneticPr fontId="2"/>
  </si>
  <si>
    <t>地形的集水区域</t>
    <rPh sb="0" eb="2">
      <t>チケイ</t>
    </rPh>
    <rPh sb="2" eb="3">
      <t>テキ</t>
    </rPh>
    <rPh sb="3" eb="4">
      <t>シュウ</t>
    </rPh>
    <rPh sb="4" eb="5">
      <t>スイ</t>
    </rPh>
    <rPh sb="5" eb="7">
      <t>クイキ</t>
    </rPh>
    <phoneticPr fontId="2"/>
  </si>
  <si>
    <t>Σｃ x a</t>
    <phoneticPr fontId="2"/>
  </si>
  <si>
    <t>Σa</t>
    <phoneticPr fontId="2"/>
  </si>
  <si>
    <t>ｃ</t>
    <phoneticPr fontId="2"/>
  </si>
  <si>
    <t>ｃ x a</t>
    <phoneticPr fontId="2"/>
  </si>
  <si>
    <t>＝</t>
    <phoneticPr fontId="2"/>
  </si>
  <si>
    <t>ｍｍ</t>
    <phoneticPr fontId="2"/>
  </si>
  <si>
    <t>ｍ</t>
    <phoneticPr fontId="2"/>
  </si>
  <si>
    <t>㎡</t>
    <phoneticPr fontId="2"/>
  </si>
  <si>
    <t>㎡</t>
    <phoneticPr fontId="2"/>
  </si>
  <si>
    <t>道路延長（L)　＝</t>
    <rPh sb="0" eb="2">
      <t>ドウロ</t>
    </rPh>
    <rPh sb="2" eb="4">
      <t>エンチョウ</t>
    </rPh>
    <phoneticPr fontId="2"/>
  </si>
  <si>
    <t>道路幅員（W)　＝</t>
    <rPh sb="0" eb="2">
      <t>ドウロ</t>
    </rPh>
    <rPh sb="2" eb="4">
      <t>フクイン</t>
    </rPh>
    <phoneticPr fontId="2"/>
  </si>
  <si>
    <t>２）浄化槽の放流量</t>
    <rPh sb="2" eb="4">
      <t>ジョウカ</t>
    </rPh>
    <rPh sb="4" eb="5">
      <t>ソウ</t>
    </rPh>
    <rPh sb="6" eb="8">
      <t>ホウリュウ</t>
    </rPh>
    <rPh sb="8" eb="9">
      <t>リョウ</t>
    </rPh>
    <phoneticPr fontId="2"/>
  </si>
  <si>
    <t>共通・市街化・調整</t>
    <rPh sb="0" eb="2">
      <t>キョウツウ</t>
    </rPh>
    <rPh sb="3" eb="6">
      <t>シガイカ</t>
    </rPh>
    <rPh sb="7" eb="9">
      <t>チョウセイ</t>
    </rPh>
    <phoneticPr fontId="2"/>
  </si>
  <si>
    <t>幅</t>
    <rPh sb="0" eb="1">
      <t>ハバ</t>
    </rPh>
    <phoneticPr fontId="2"/>
  </si>
  <si>
    <t>沿道敷地</t>
    <rPh sb="0" eb="2">
      <t>エンドウ</t>
    </rPh>
    <rPh sb="2" eb="4">
      <t>シキチ</t>
    </rPh>
    <phoneticPr fontId="2"/>
  </si>
  <si>
    <t>３．面積</t>
    <rPh sb="2" eb="4">
      <t>メンセキ</t>
    </rPh>
    <phoneticPr fontId="2"/>
  </si>
  <si>
    <t>１．道路</t>
    <rPh sb="2" eb="4">
      <t>ドウロ</t>
    </rPh>
    <phoneticPr fontId="2"/>
  </si>
  <si>
    <t>２．申請地</t>
    <rPh sb="2" eb="4">
      <t>シンセイ</t>
    </rPh>
    <rPh sb="4" eb="5">
      <t>チ</t>
    </rPh>
    <phoneticPr fontId="2"/>
  </si>
  <si>
    <t>４．流出係数</t>
    <rPh sb="2" eb="4">
      <t>リュウシュツ</t>
    </rPh>
    <rPh sb="4" eb="6">
      <t>ケイスウ</t>
    </rPh>
    <phoneticPr fontId="2"/>
  </si>
  <si>
    <t>共通</t>
    <rPh sb="0" eb="2">
      <t>キョウツウ</t>
    </rPh>
    <phoneticPr fontId="2"/>
  </si>
  <si>
    <t>単位</t>
    <rPh sb="0" eb="2">
      <t>タンイ</t>
    </rPh>
    <phoneticPr fontId="2"/>
  </si>
  <si>
    <t>㎡</t>
    <phoneticPr fontId="2"/>
  </si>
  <si>
    <t>m</t>
    <phoneticPr fontId="2"/>
  </si>
  <si>
    <t>種類（区域別に数字を入力）</t>
    <rPh sb="0" eb="2">
      <t>シュルイ</t>
    </rPh>
    <rPh sb="3" eb="5">
      <t>クイキ</t>
    </rPh>
    <rPh sb="5" eb="6">
      <t>ベツ</t>
    </rPh>
    <rPh sb="7" eb="9">
      <t>スウジ</t>
    </rPh>
    <rPh sb="10" eb="12">
      <t>ニュウリョク</t>
    </rPh>
    <phoneticPr fontId="2"/>
  </si>
  <si>
    <t>５．浄化槽</t>
    <rPh sb="2" eb="5">
      <t>ジョウカソウ</t>
    </rPh>
    <phoneticPr fontId="2"/>
  </si>
  <si>
    <r>
      <t>m</t>
    </r>
    <r>
      <rPr>
        <sz val="8"/>
        <rFont val="ＭＳ Ｐゴシック"/>
        <family val="3"/>
        <charset val="128"/>
      </rPr>
      <t>3</t>
    </r>
    <phoneticPr fontId="2"/>
  </si>
  <si>
    <t>側溝幅</t>
    <rPh sb="0" eb="2">
      <t>ソッコウ</t>
    </rPh>
    <rPh sb="2" eb="3">
      <t>ハバ</t>
    </rPh>
    <phoneticPr fontId="2"/>
  </si>
  <si>
    <t>側溝高さ</t>
    <rPh sb="0" eb="2">
      <t>ソッコウ</t>
    </rPh>
    <rPh sb="2" eb="3">
      <t>タカ</t>
    </rPh>
    <phoneticPr fontId="2"/>
  </si>
  <si>
    <t>管渠直径</t>
    <rPh sb="0" eb="1">
      <t>カン</t>
    </rPh>
    <rPh sb="1" eb="2">
      <t>キョ</t>
    </rPh>
    <rPh sb="2" eb="4">
      <t>チョッケイ</t>
    </rPh>
    <phoneticPr fontId="2"/>
  </si>
  <si>
    <t>粗度係数</t>
    <rPh sb="0" eb="1">
      <t>アラ</t>
    </rPh>
    <rPh sb="1" eb="2">
      <t>ド</t>
    </rPh>
    <rPh sb="2" eb="4">
      <t>ケイスウ</t>
    </rPh>
    <phoneticPr fontId="2"/>
  </si>
  <si>
    <t>調整</t>
    <rPh sb="0" eb="2">
      <t>チョウセイ</t>
    </rPh>
    <phoneticPr fontId="2"/>
  </si>
  <si>
    <t>市街化</t>
    <rPh sb="0" eb="3">
      <t>シガイカ</t>
    </rPh>
    <phoneticPr fontId="2"/>
  </si>
  <si>
    <t>奥行</t>
    <rPh sb="0" eb="2">
      <t>オクユ</t>
    </rPh>
    <phoneticPr fontId="2"/>
  </si>
  <si>
    <t>%</t>
    <phoneticPr fontId="2"/>
  </si>
  <si>
    <t>別表１</t>
    <rPh sb="0" eb="1">
      <t>ベツ</t>
    </rPh>
    <rPh sb="1" eb="2">
      <t>ヒョウ</t>
    </rPh>
    <phoneticPr fontId="2"/>
  </si>
  <si>
    <t>区間①</t>
    <rPh sb="0" eb="2">
      <t>クカン</t>
    </rPh>
    <phoneticPr fontId="2"/>
  </si>
  <si>
    <t>区間②</t>
    <rPh sb="0" eb="2">
      <t>クカン</t>
    </rPh>
    <phoneticPr fontId="2"/>
  </si>
  <si>
    <t>区間③</t>
    <rPh sb="0" eb="2">
      <t>クカン</t>
    </rPh>
    <phoneticPr fontId="2"/>
  </si>
  <si>
    <t>区間④</t>
    <rPh sb="0" eb="2">
      <t>クカン</t>
    </rPh>
    <phoneticPr fontId="2"/>
  </si>
  <si>
    <t>区間⑤</t>
    <rPh sb="0" eb="2">
      <t>クカン</t>
    </rPh>
    <phoneticPr fontId="2"/>
  </si>
  <si>
    <t>幅(ｍ）</t>
    <rPh sb="0" eb="1">
      <t>ハバ</t>
    </rPh>
    <phoneticPr fontId="2"/>
  </si>
  <si>
    <t>延長（ｍ）</t>
    <rPh sb="0" eb="2">
      <t>エンチョウ</t>
    </rPh>
    <phoneticPr fontId="2"/>
  </si>
  <si>
    <t>面積（㎡）</t>
    <rPh sb="0" eb="2">
      <t>メンセキ</t>
    </rPh>
    <phoneticPr fontId="2"/>
  </si>
  <si>
    <t>平均・合計</t>
    <rPh sb="0" eb="2">
      <t>ヘイキン</t>
    </rPh>
    <rPh sb="3" eb="5">
      <t>ゴウケイ</t>
    </rPh>
    <phoneticPr fontId="2"/>
  </si>
  <si>
    <t>区間⑥</t>
    <rPh sb="0" eb="2">
      <t>クカン</t>
    </rPh>
    <phoneticPr fontId="2"/>
  </si>
  <si>
    <t>区間⑦</t>
    <rPh sb="0" eb="2">
      <t>クカン</t>
    </rPh>
    <phoneticPr fontId="2"/>
  </si>
  <si>
    <t>区間⑧</t>
    <rPh sb="0" eb="2">
      <t>クカン</t>
    </rPh>
    <phoneticPr fontId="2"/>
  </si>
  <si>
    <t>区間⑨</t>
    <rPh sb="0" eb="2">
      <t>クカン</t>
    </rPh>
    <phoneticPr fontId="2"/>
  </si>
  <si>
    <t>区間⑩</t>
    <rPh sb="0" eb="2">
      <t>クカン</t>
    </rPh>
    <phoneticPr fontId="2"/>
  </si>
  <si>
    <t>※流出係数　０．６</t>
    <rPh sb="1" eb="3">
      <t>リュウシュツ</t>
    </rPh>
    <rPh sb="3" eb="5">
      <t>ケイスウ</t>
    </rPh>
    <phoneticPr fontId="2"/>
  </si>
  <si>
    <t>※流出係数　０．８</t>
    <rPh sb="1" eb="3">
      <t>リュウシュツ</t>
    </rPh>
    <rPh sb="3" eb="5">
      <t>ケイスウ</t>
    </rPh>
    <phoneticPr fontId="2"/>
  </si>
  <si>
    <t>※流出係数　０．９</t>
    <rPh sb="1" eb="3">
      <t>リュウシュツ</t>
    </rPh>
    <rPh sb="3" eb="5">
      <t>ケイスウ</t>
    </rPh>
    <phoneticPr fontId="2"/>
  </si>
  <si>
    <t>道路の路面の１/２</t>
    <rPh sb="0" eb="2">
      <t>ドウロ</t>
    </rPh>
    <rPh sb="3" eb="5">
      <t>ロメン</t>
    </rPh>
    <phoneticPr fontId="2"/>
  </si>
  <si>
    <t>道路の路面</t>
    <rPh sb="0" eb="2">
      <t>ドウロ</t>
    </rPh>
    <rPh sb="3" eb="5">
      <t>ロメン</t>
    </rPh>
    <phoneticPr fontId="2"/>
  </si>
  <si>
    <t>別表２</t>
    <rPh sb="0" eb="1">
      <t>ベツ</t>
    </rPh>
    <rPh sb="1" eb="2">
      <t>ヒョウ</t>
    </rPh>
    <phoneticPr fontId="2"/>
  </si>
  <si>
    <t>芝地（砂質土）</t>
    <rPh sb="0" eb="1">
      <t>シバ</t>
    </rPh>
    <rPh sb="1" eb="2">
      <t>チ</t>
    </rPh>
    <rPh sb="3" eb="4">
      <t>スナ</t>
    </rPh>
    <rPh sb="4" eb="5">
      <t>シツ</t>
    </rPh>
    <rPh sb="5" eb="6">
      <t>ツチ</t>
    </rPh>
    <phoneticPr fontId="2"/>
  </si>
  <si>
    <t>芝地（粘性土）</t>
    <rPh sb="0" eb="1">
      <t>シバ</t>
    </rPh>
    <rPh sb="1" eb="2">
      <t>チ</t>
    </rPh>
    <rPh sb="3" eb="5">
      <t>ネンセイ</t>
    </rPh>
    <rPh sb="5" eb="6">
      <t>ツチ</t>
    </rPh>
    <phoneticPr fontId="2"/>
  </si>
  <si>
    <t>間地</t>
    <rPh sb="0" eb="1">
      <t>アイダ</t>
    </rPh>
    <rPh sb="1" eb="2">
      <t>チ</t>
    </rPh>
    <phoneticPr fontId="2"/>
  </si>
  <si>
    <t>芝、樹林の多い公園</t>
    <rPh sb="0" eb="1">
      <t>シバ</t>
    </rPh>
    <rPh sb="2" eb="4">
      <t>ジュリン</t>
    </rPh>
    <rPh sb="5" eb="6">
      <t>オオ</t>
    </rPh>
    <rPh sb="7" eb="9">
      <t>コウエン</t>
    </rPh>
    <phoneticPr fontId="2"/>
  </si>
  <si>
    <t>畑</t>
    <rPh sb="0" eb="1">
      <t>ハタケ</t>
    </rPh>
    <phoneticPr fontId="2"/>
  </si>
  <si>
    <t>舗装道</t>
    <rPh sb="0" eb="2">
      <t>ホソウ</t>
    </rPh>
    <rPh sb="2" eb="3">
      <t>ミチ</t>
    </rPh>
    <phoneticPr fontId="2"/>
  </si>
  <si>
    <t>砂利道</t>
    <rPh sb="0" eb="3">
      <t>ジャリミチ</t>
    </rPh>
    <phoneticPr fontId="2"/>
  </si>
  <si>
    <t>ｃ</t>
    <phoneticPr fontId="2"/>
  </si>
  <si>
    <t>ａ　（㎡）</t>
    <phoneticPr fontId="2"/>
  </si>
  <si>
    <t>ｃ×ａ</t>
    <phoneticPr fontId="2"/>
  </si>
  <si>
    <t>合併処理浄化槽　　　</t>
    <rPh sb="0" eb="2">
      <t>ガッペイ</t>
    </rPh>
    <rPh sb="2" eb="4">
      <t>ショリ</t>
    </rPh>
    <rPh sb="4" eb="7">
      <t>ジョウカソウ</t>
    </rPh>
    <phoneticPr fontId="2"/>
  </si>
  <si>
    <t>人槽</t>
    <rPh sb="0" eb="1">
      <t>ヒト</t>
    </rPh>
    <rPh sb="1" eb="2">
      <t>ソウ</t>
    </rPh>
    <phoneticPr fontId="2"/>
  </si>
  <si>
    <t>別表３</t>
    <rPh sb="0" eb="1">
      <t>ベツ</t>
    </rPh>
    <rPh sb="1" eb="2">
      <t>ヒョウ</t>
    </rPh>
    <phoneticPr fontId="2"/>
  </si>
  <si>
    <t>水面勾配×延長</t>
    <rPh sb="0" eb="2">
      <t>スイメン</t>
    </rPh>
    <rPh sb="2" eb="4">
      <t>コウバイ</t>
    </rPh>
    <rPh sb="5" eb="7">
      <t>エンチョウ</t>
    </rPh>
    <phoneticPr fontId="2"/>
  </si>
  <si>
    <t>平均流出係数→</t>
    <rPh sb="0" eb="2">
      <t>ヘイキン</t>
    </rPh>
    <rPh sb="2" eb="4">
      <t>リュウシュツ</t>
    </rPh>
    <rPh sb="4" eb="6">
      <t>ケイスウ</t>
    </rPh>
    <phoneticPr fontId="2"/>
  </si>
  <si>
    <t>←面積合計</t>
    <rPh sb="1" eb="3">
      <t>メンセキ</t>
    </rPh>
    <rPh sb="3" eb="5">
      <t>ゴウケイ</t>
    </rPh>
    <phoneticPr fontId="2"/>
  </si>
  <si>
    <t>←平均水面勾配</t>
    <rPh sb="1" eb="3">
      <t>ヘイキン</t>
    </rPh>
    <rPh sb="3" eb="5">
      <t>スイメン</t>
    </rPh>
    <rPh sb="5" eb="7">
      <t>コウバイ</t>
    </rPh>
    <phoneticPr fontId="2"/>
  </si>
  <si>
    <t>道路の法面（土）</t>
    <rPh sb="0" eb="2">
      <t>ドウロ</t>
    </rPh>
    <rPh sb="3" eb="4">
      <t>ノリ</t>
    </rPh>
    <rPh sb="4" eb="5">
      <t>メン</t>
    </rPh>
    <rPh sb="6" eb="7">
      <t>ツチ</t>
    </rPh>
    <phoneticPr fontId="2"/>
  </si>
  <si>
    <t>道路の法面（岩盤）</t>
    <rPh sb="0" eb="2">
      <t>ドウロ</t>
    </rPh>
    <rPh sb="3" eb="4">
      <t>ノリ</t>
    </rPh>
    <rPh sb="4" eb="5">
      <t>メン</t>
    </rPh>
    <rPh sb="6" eb="8">
      <t>ガンバン</t>
    </rPh>
    <phoneticPr fontId="2"/>
  </si>
  <si>
    <t>種類（種類別に数字を入力）</t>
    <rPh sb="0" eb="2">
      <t>シュルイ</t>
    </rPh>
    <rPh sb="3" eb="5">
      <t>シュルイ</t>
    </rPh>
    <rPh sb="5" eb="6">
      <t>ベツ</t>
    </rPh>
    <rPh sb="7" eb="9">
      <t>スウジ</t>
    </rPh>
    <rPh sb="10" eb="12">
      <t>ニュウリョク</t>
    </rPh>
    <phoneticPr fontId="2"/>
  </si>
  <si>
    <t>↓</t>
    <phoneticPr fontId="2"/>
  </si>
  <si>
    <t>－</t>
    <phoneticPr fontId="2"/>
  </si>
  <si>
    <t>６．排水施設</t>
    <rPh sb="2" eb="4">
      <t>ハイスイ</t>
    </rPh>
    <rPh sb="4" eb="6">
      <t>シセツ</t>
    </rPh>
    <phoneticPr fontId="2"/>
  </si>
  <si>
    <t>1/2の面積→</t>
    <rPh sb="4" eb="6">
      <t>メンセキ</t>
    </rPh>
    <phoneticPr fontId="2"/>
  </si>
  <si>
    <t>※日平均汚水量には、
   １人槽０．２ｍ3で計算する。</t>
    <rPh sb="1" eb="2">
      <t>ニチ</t>
    </rPh>
    <rPh sb="2" eb="4">
      <t>ヘイキン</t>
    </rPh>
    <rPh sb="4" eb="6">
      <t>オスイ</t>
    </rPh>
    <rPh sb="6" eb="7">
      <t>リョウ</t>
    </rPh>
    <rPh sb="15" eb="16">
      <t>ニン</t>
    </rPh>
    <rPh sb="16" eb="17">
      <t>ソウ</t>
    </rPh>
    <rPh sb="23" eb="25">
      <t>ケイサン</t>
    </rPh>
    <phoneticPr fontId="2"/>
  </si>
  <si>
    <t>※市街化:1、調整区域:2</t>
    <rPh sb="1" eb="4">
      <t>シガイカ</t>
    </rPh>
    <rPh sb="7" eb="9">
      <t>チョウセイ</t>
    </rPh>
    <rPh sb="9" eb="11">
      <t>クイキ</t>
    </rPh>
    <phoneticPr fontId="2"/>
  </si>
  <si>
    <t>※1 既製品の場合　  0.013  
※2 現場打ちの場合  0.015</t>
    <rPh sb="3" eb="6">
      <t>キセイヒン</t>
    </rPh>
    <rPh sb="7" eb="9">
      <t>バアイ</t>
    </rPh>
    <rPh sb="23" eb="25">
      <t>ゲンバ</t>
    </rPh>
    <rPh sb="25" eb="26">
      <t>ウ</t>
    </rPh>
    <rPh sb="28" eb="30">
      <t>バアイ</t>
    </rPh>
    <phoneticPr fontId="2"/>
  </si>
  <si>
    <t>水面勾配（%）</t>
    <rPh sb="0" eb="2">
      <t>スイメン</t>
    </rPh>
    <rPh sb="2" eb="4">
      <t>コウバイ</t>
    </rPh>
    <phoneticPr fontId="2"/>
  </si>
  <si>
    <t>・・・・・</t>
    <phoneticPr fontId="2"/>
  </si>
  <si>
    <t>入力箇所（共通）</t>
    <rPh sb="0" eb="2">
      <t>ニュウリョク</t>
    </rPh>
    <rPh sb="2" eb="4">
      <t>カショ</t>
    </rPh>
    <rPh sb="5" eb="7">
      <t>キョウツウ</t>
    </rPh>
    <phoneticPr fontId="2"/>
  </si>
  <si>
    <t>入力箇所（市街化区域）</t>
    <rPh sb="0" eb="2">
      <t>ニュウリョク</t>
    </rPh>
    <rPh sb="2" eb="4">
      <t>カショ</t>
    </rPh>
    <rPh sb="5" eb="8">
      <t>シガイカ</t>
    </rPh>
    <rPh sb="8" eb="10">
      <t>クイキ</t>
    </rPh>
    <phoneticPr fontId="2"/>
  </si>
  <si>
    <t>入力箇所（調整区域）</t>
    <rPh sb="0" eb="2">
      <t>ニュウリョク</t>
    </rPh>
    <rPh sb="2" eb="4">
      <t>カショ</t>
    </rPh>
    <rPh sb="5" eb="7">
      <t>チョウセイ</t>
    </rPh>
    <rPh sb="7" eb="9">
      <t>クイキ</t>
    </rPh>
    <phoneticPr fontId="2"/>
  </si>
  <si>
    <t>計算値</t>
    <rPh sb="0" eb="3">
      <t>ケイサンチ</t>
    </rPh>
    <phoneticPr fontId="2"/>
  </si>
  <si>
    <t>既製品またはコンクリート製品の場合</t>
    <rPh sb="0" eb="2">
      <t>キセイ</t>
    </rPh>
    <rPh sb="2" eb="3">
      <t>ヒン</t>
    </rPh>
    <rPh sb="12" eb="14">
      <t>セイヒン</t>
    </rPh>
    <rPh sb="15" eb="17">
      <t>バアイ</t>
    </rPh>
    <phoneticPr fontId="2"/>
  </si>
  <si>
    <t>参考</t>
    <rPh sb="0" eb="2">
      <t>サンコウ</t>
    </rPh>
    <phoneticPr fontId="2"/>
  </si>
  <si>
    <t>　A=通水断面 P=潤辺長</t>
    <rPh sb="10" eb="11">
      <t>ジュン</t>
    </rPh>
    <rPh sb="11" eb="12">
      <t>ヘン</t>
    </rPh>
    <rPh sb="12" eb="13">
      <t>チョウ</t>
    </rPh>
    <phoneticPr fontId="2"/>
  </si>
  <si>
    <t>　P=b＋hｘ2（側溝）、P=π×b（管渠）</t>
    <rPh sb="9" eb="11">
      <t>ソッコウ</t>
    </rPh>
    <rPh sb="19" eb="20">
      <t>カン</t>
    </rPh>
    <rPh sb="20" eb="21">
      <t>キョ</t>
    </rPh>
    <phoneticPr fontId="2"/>
  </si>
  <si>
    <t>面積（土）　＝</t>
    <rPh sb="0" eb="2">
      <t>メンセキ</t>
    </rPh>
    <rPh sb="3" eb="4">
      <t>ツチ</t>
    </rPh>
    <phoneticPr fontId="2"/>
  </si>
  <si>
    <t>面積（岩盤）　＝</t>
    <rPh sb="0" eb="2">
      <t>メンセキ</t>
    </rPh>
    <rPh sb="3" eb="5">
      <t>ガンバン</t>
    </rPh>
    <phoneticPr fontId="2"/>
  </si>
  <si>
    <t>法面(土）</t>
    <rPh sb="0" eb="1">
      <t>ノリ</t>
    </rPh>
    <rPh sb="1" eb="2">
      <t>メン</t>
    </rPh>
    <rPh sb="3" eb="4">
      <t>ツチ</t>
    </rPh>
    <phoneticPr fontId="2"/>
  </si>
  <si>
    <t>法面(岩盤）</t>
    <rPh sb="0" eb="1">
      <t>ノリ</t>
    </rPh>
    <rPh sb="1" eb="2">
      <t>メン</t>
    </rPh>
    <rPh sb="3" eb="5">
      <t>ガンバン</t>
    </rPh>
    <phoneticPr fontId="2"/>
  </si>
  <si>
    <t>1/3600000</t>
    <phoneticPr fontId="2"/>
  </si>
  <si>
    <t>何人槽</t>
    <rPh sb="0" eb="2">
      <t>ナンニン</t>
    </rPh>
    <rPh sb="2" eb="3">
      <t>ソウ</t>
    </rPh>
    <phoneticPr fontId="2"/>
  </si>
  <si>
    <t>４．判定</t>
    <rPh sb="2" eb="4">
      <t>ハンテイ</t>
    </rPh>
    <phoneticPr fontId="2"/>
  </si>
  <si>
    <r>
      <t xml:space="preserve">浄化槽放流水相当延長の計算
</t>
    </r>
    <r>
      <rPr>
        <b/>
        <sz val="9"/>
        <rFont val="ＭＳ Ｐゴシック"/>
        <family val="3"/>
        <charset val="128"/>
      </rPr>
      <t>（浄化槽放流水を道路側溝に流している場合）</t>
    </r>
    <rPh sb="0" eb="3">
      <t>ジョウカソウ</t>
    </rPh>
    <rPh sb="3" eb="5">
      <t>ホウリュウ</t>
    </rPh>
    <rPh sb="5" eb="6">
      <t>ミズ</t>
    </rPh>
    <rPh sb="6" eb="8">
      <t>ソウトウ</t>
    </rPh>
    <rPh sb="8" eb="10">
      <t>エンチョウ</t>
    </rPh>
    <rPh sb="11" eb="13">
      <t>ケイサン</t>
    </rPh>
    <rPh sb="15" eb="18">
      <t>ジョウカソウ</t>
    </rPh>
    <rPh sb="18" eb="20">
      <t>ホウリュウ</t>
    </rPh>
    <rPh sb="20" eb="21">
      <t>スイ</t>
    </rPh>
    <rPh sb="22" eb="24">
      <t>ドウロ</t>
    </rPh>
    <rPh sb="24" eb="26">
      <t>ソッコウ</t>
    </rPh>
    <rPh sb="27" eb="28">
      <t>ナガ</t>
    </rPh>
    <rPh sb="32" eb="34">
      <t>バアイ</t>
    </rPh>
    <phoneticPr fontId="2"/>
  </si>
  <si>
    <t xml:space="preserve"> 集水可能な沿道幅Ｂの計算
及び判定</t>
    <rPh sb="1" eb="2">
      <t>シュウ</t>
    </rPh>
    <rPh sb="2" eb="3">
      <t>スイ</t>
    </rPh>
    <rPh sb="3" eb="5">
      <t>カノウ</t>
    </rPh>
    <rPh sb="6" eb="8">
      <t>エンドウ</t>
    </rPh>
    <rPh sb="8" eb="9">
      <t>ハバ</t>
    </rPh>
    <rPh sb="11" eb="13">
      <t>ケイサン</t>
    </rPh>
    <rPh sb="14" eb="15">
      <t>オヨ</t>
    </rPh>
    <rPh sb="16" eb="18">
      <t>ハンテイ</t>
    </rPh>
    <phoneticPr fontId="2"/>
  </si>
  <si>
    <t>※この記号（＞）を満足すればＯＫとなる。</t>
    <rPh sb="3" eb="5">
      <t>キゴウ</t>
    </rPh>
    <rPh sb="9" eb="11">
      <t>マンゾク</t>
    </rPh>
    <phoneticPr fontId="2"/>
  </si>
  <si>
    <t>（＋）流出抑制対策が必要である。</t>
    <rPh sb="3" eb="5">
      <t>リュウシュツ</t>
    </rPh>
    <rPh sb="5" eb="7">
      <t>ヨクセイ</t>
    </rPh>
    <rPh sb="7" eb="9">
      <t>タイサク</t>
    </rPh>
    <rPh sb="10" eb="12">
      <t>ヒツヨウ</t>
    </rPh>
    <phoneticPr fontId="2"/>
  </si>
  <si>
    <t>（－）流出抑制対策は不要である。</t>
    <rPh sb="10" eb="12">
      <t>フヨウ</t>
    </rPh>
    <phoneticPr fontId="2"/>
  </si>
  <si>
    <t>m3/s</t>
    <phoneticPr fontId="2"/>
  </si>
  <si>
    <t>Q (m3/s)</t>
    <phoneticPr fontId="2"/>
  </si>
  <si>
    <t>　間口×奥行（長方形の場合）
　直接入力（長方形以外）</t>
    <rPh sb="1" eb="3">
      <t>マグチ</t>
    </rPh>
    <rPh sb="4" eb="6">
      <t>オクユ</t>
    </rPh>
    <rPh sb="7" eb="10">
      <t>チョウホウケイ</t>
    </rPh>
    <rPh sb="11" eb="13">
      <t>バアイ</t>
    </rPh>
    <rPh sb="16" eb="18">
      <t>チョクセツ</t>
    </rPh>
    <rPh sb="18" eb="20">
      <t>ニュウリョク</t>
    </rPh>
    <rPh sb="21" eb="24">
      <t>チョウホウケイ</t>
    </rPh>
    <rPh sb="24" eb="26">
      <t>イガイ</t>
    </rPh>
    <phoneticPr fontId="2"/>
  </si>
  <si>
    <t>A</t>
    <phoneticPr fontId="2"/>
  </si>
  <si>
    <t>V</t>
    <phoneticPr fontId="2"/>
  </si>
  <si>
    <t>Ｔ　＝（１／３６０００００）×（沿道敷地の流出係数）×100×ｙ×〔（ｘ＋α）－Ｂ）〕</t>
    <rPh sb="16" eb="18">
      <t>エンドウ</t>
    </rPh>
    <rPh sb="18" eb="20">
      <t>シキチ</t>
    </rPh>
    <rPh sb="21" eb="23">
      <t>リュウシュツ</t>
    </rPh>
    <rPh sb="23" eb="25">
      <t>ケイスウ</t>
    </rPh>
    <phoneticPr fontId="2"/>
  </si>
  <si>
    <t>α　＝　〔ｐ×ｃ÷（２４×６０×６０）〕×〔３，６００，０００÷（沿道敷地の流出係数×100）〕÷y</t>
    <rPh sb="33" eb="35">
      <t>エンドウ</t>
    </rPh>
    <rPh sb="35" eb="37">
      <t>シキチ</t>
    </rPh>
    <rPh sb="38" eb="40">
      <t>リュウシュツ</t>
    </rPh>
    <rPh sb="40" eb="42">
      <t>ケイスウ</t>
    </rPh>
    <phoneticPr fontId="2"/>
  </si>
  <si>
    <t>100mm</t>
    <phoneticPr fontId="2"/>
  </si>
  <si>
    <t>降雨強度＝</t>
    <rPh sb="0" eb="2">
      <t>コウウ</t>
    </rPh>
    <rPh sb="2" eb="4">
      <t>キョウド</t>
    </rPh>
    <phoneticPr fontId="2"/>
  </si>
  <si>
    <t>…入力・確認事項</t>
    <rPh sb="1" eb="3">
      <t>ニュウリョク</t>
    </rPh>
    <rPh sb="4" eb="6">
      <t>カクニン</t>
    </rPh>
    <rPh sb="6" eb="8">
      <t>ジコウ</t>
    </rPh>
    <phoneticPr fontId="21"/>
  </si>
  <si>
    <t>=</t>
    <phoneticPr fontId="21"/>
  </si>
  <si>
    <t>cm/s</t>
    <phoneticPr fontId="21"/>
  </si>
  <si>
    <t>数量</t>
    <phoneticPr fontId="21"/>
  </si>
  <si>
    <t xml:space="preserve">平均空隙率 </t>
    <phoneticPr fontId="21"/>
  </si>
  <si>
    <t>右表参照</t>
    <rPh sb="0" eb="1">
      <t>ミギ</t>
    </rPh>
    <rPh sb="1" eb="2">
      <t>ヒョウ</t>
    </rPh>
    <rPh sb="2" eb="4">
      <t>サンショウ</t>
    </rPh>
    <phoneticPr fontId="21"/>
  </si>
  <si>
    <t>材料</t>
    <rPh sb="0" eb="2">
      <t>ザイリョウ</t>
    </rPh>
    <phoneticPr fontId="21"/>
  </si>
  <si>
    <t>空隙率</t>
    <rPh sb="0" eb="2">
      <t>クウゲキ</t>
    </rPh>
    <rPh sb="2" eb="3">
      <t>リツ</t>
    </rPh>
    <phoneticPr fontId="21"/>
  </si>
  <si>
    <t>土壌の飽和透水係数k0 * 設置施設の比浸透量kf * 3600 /100</t>
    <phoneticPr fontId="21"/>
  </si>
  <si>
    <t>単粒度採石（3・4・5号）</t>
    <phoneticPr fontId="21"/>
  </si>
  <si>
    <t>クラッシャーラン</t>
    <phoneticPr fontId="21"/>
  </si>
  <si>
    <t>粒度調整砕石</t>
    <rPh sb="0" eb="6">
      <t>リュウドチョウセイサイセキ</t>
    </rPh>
    <phoneticPr fontId="21"/>
  </si>
  <si>
    <t>係数a * 設計水頭H + 係数b</t>
    <phoneticPr fontId="21"/>
  </si>
  <si>
    <t>透水性アスファルト混合物</t>
    <rPh sb="0" eb="3">
      <t>トウスイセイ</t>
    </rPh>
    <rPh sb="9" eb="12">
      <t>コンゴウブツ</t>
    </rPh>
    <phoneticPr fontId="21"/>
  </si>
  <si>
    <t>透水性瀝青安定処理路盤</t>
    <rPh sb="0" eb="3">
      <t>トウスイセイ</t>
    </rPh>
    <rPh sb="3" eb="5">
      <t>レキセイ</t>
    </rPh>
    <rPh sb="5" eb="7">
      <t>アンテイ</t>
    </rPh>
    <rPh sb="7" eb="9">
      <t>ショリ</t>
    </rPh>
    <rPh sb="9" eb="11">
      <t>ロバン</t>
    </rPh>
    <phoneticPr fontId="21"/>
  </si>
  <si>
    <t>透水性コンクリート</t>
    <rPh sb="0" eb="3">
      <t>トウスイセイ</t>
    </rPh>
    <phoneticPr fontId="21"/>
  </si>
  <si>
    <t>影響係数C * 基準浸透量Qf</t>
    <phoneticPr fontId="21"/>
  </si>
  <si>
    <t>プラスチック製貯留材</t>
    <rPh sb="6" eb="7">
      <t>セイ</t>
    </rPh>
    <rPh sb="7" eb="9">
      <t>チョリュウ</t>
    </rPh>
    <rPh sb="9" eb="10">
      <t>ザイ</t>
    </rPh>
    <phoneticPr fontId="21"/>
  </si>
  <si>
    <t>使用する製品のカタログ値を採用</t>
    <rPh sb="0" eb="2">
      <t>シヨウ</t>
    </rPh>
    <rPh sb="4" eb="6">
      <t>セイヒン</t>
    </rPh>
    <rPh sb="11" eb="12">
      <t>アタイ</t>
    </rPh>
    <rPh sb="13" eb="15">
      <t>サイヨウ</t>
    </rPh>
    <phoneticPr fontId="21"/>
  </si>
  <si>
    <t>m2</t>
    <phoneticPr fontId="21"/>
  </si>
  <si>
    <t>浸透対策量Q1</t>
    <phoneticPr fontId="21"/>
  </si>
  <si>
    <t>単位設計浸透量Q * 数量</t>
    <phoneticPr fontId="21"/>
  </si>
  <si>
    <t>m3/hr</t>
    <phoneticPr fontId="21"/>
  </si>
  <si>
    <t>貯留効果Q2</t>
    <phoneticPr fontId="21"/>
  </si>
  <si>
    <t>設計水頭 * 数量（面積） * 平均空隙率</t>
    <phoneticPr fontId="21"/>
  </si>
  <si>
    <t>m3</t>
    <phoneticPr fontId="21"/>
  </si>
  <si>
    <t>透水性舗装の対策量</t>
    <rPh sb="0" eb="3">
      <t>トウスイセイ</t>
    </rPh>
    <rPh sb="3" eb="5">
      <t>ホソウ</t>
    </rPh>
    <rPh sb="6" eb="8">
      <t>タイサク</t>
    </rPh>
    <rPh sb="8" eb="9">
      <t>リョウ</t>
    </rPh>
    <phoneticPr fontId="21"/>
  </si>
  <si>
    <t>Q1+Q2</t>
    <phoneticPr fontId="21"/>
  </si>
  <si>
    <t>※枡本体が正方形の場合</t>
    <rPh sb="1" eb="2">
      <t>マス</t>
    </rPh>
    <rPh sb="2" eb="4">
      <t>ホンタイ</t>
    </rPh>
    <rPh sb="5" eb="8">
      <t>セイホウケイ</t>
    </rPh>
    <rPh sb="9" eb="11">
      <t>バアイ</t>
    </rPh>
    <phoneticPr fontId="21"/>
  </si>
  <si>
    <t>浸透能力（１個あたり）</t>
    <rPh sb="0" eb="2">
      <t>シントウ</t>
    </rPh>
    <rPh sb="2" eb="4">
      <t>ノウリョク</t>
    </rPh>
    <rPh sb="6" eb="7">
      <t>コ</t>
    </rPh>
    <phoneticPr fontId="21"/>
  </si>
  <si>
    <t>条件</t>
    <rPh sb="0" eb="2">
      <t>ジョウケン</t>
    </rPh>
    <phoneticPr fontId="21"/>
  </si>
  <si>
    <t>高さ（ｍ）</t>
    <rPh sb="0" eb="1">
      <t>タカ</t>
    </rPh>
    <phoneticPr fontId="21"/>
  </si>
  <si>
    <t>Ｈ≦1.5ｍ</t>
    <phoneticPr fontId="21"/>
  </si>
  <si>
    <t>幅（ｍ）</t>
    <rPh sb="0" eb="1">
      <t>ハバ</t>
    </rPh>
    <phoneticPr fontId="21"/>
  </si>
  <si>
    <t>W≦1ｍ</t>
    <phoneticPr fontId="21"/>
  </si>
  <si>
    <t>比浸透量（㎡/個）</t>
    <rPh sb="0" eb="1">
      <t>ヒ</t>
    </rPh>
    <rPh sb="1" eb="3">
      <t>シントウ</t>
    </rPh>
    <rPh sb="3" eb="4">
      <t>リョウ</t>
    </rPh>
    <rPh sb="7" eb="8">
      <t>コ</t>
    </rPh>
    <phoneticPr fontId="21"/>
  </si>
  <si>
    <t>土壌の飽和透水係数（㎝/s）</t>
    <rPh sb="0" eb="2">
      <t>ドジョウ</t>
    </rPh>
    <rPh sb="3" eb="5">
      <t>ホウワ</t>
    </rPh>
    <rPh sb="5" eb="7">
      <t>トウスイ</t>
    </rPh>
    <rPh sb="7" eb="9">
      <t>ケイスウ</t>
    </rPh>
    <phoneticPr fontId="21"/>
  </si>
  <si>
    <t>基準浸透量（１個あたり）</t>
    <rPh sb="0" eb="2">
      <t>キジュン</t>
    </rPh>
    <rPh sb="2" eb="4">
      <t>シントウ</t>
    </rPh>
    <rPh sb="4" eb="5">
      <t>リョウ</t>
    </rPh>
    <rPh sb="7" eb="8">
      <t>コ</t>
    </rPh>
    <phoneticPr fontId="21"/>
  </si>
  <si>
    <t>影響係数（定数）</t>
    <rPh sb="0" eb="2">
      <t>エイキョウ</t>
    </rPh>
    <rPh sb="2" eb="4">
      <t>ケイスウ</t>
    </rPh>
    <rPh sb="5" eb="7">
      <t>テイスウ</t>
    </rPh>
    <phoneticPr fontId="21"/>
  </si>
  <si>
    <t>単位設計浸透量（１個あたり）</t>
    <rPh sb="0" eb="2">
      <t>タンイ</t>
    </rPh>
    <rPh sb="2" eb="4">
      <t>セッケイ</t>
    </rPh>
    <rPh sb="4" eb="6">
      <t>シントウ</t>
    </rPh>
    <rPh sb="6" eb="7">
      <t>リョウ</t>
    </rPh>
    <rPh sb="9" eb="10">
      <t>コ</t>
    </rPh>
    <phoneticPr fontId="21"/>
  </si>
  <si>
    <t>貯留効果（１個あたり）</t>
    <rPh sb="0" eb="2">
      <t>チョリュウ</t>
    </rPh>
    <rPh sb="2" eb="4">
      <t>コウカ</t>
    </rPh>
    <rPh sb="6" eb="7">
      <t>コ</t>
    </rPh>
    <phoneticPr fontId="21"/>
  </si>
  <si>
    <t>浸透枡本体の一辺の長さ（ｍ）</t>
    <rPh sb="0" eb="2">
      <t>シントウ</t>
    </rPh>
    <rPh sb="2" eb="3">
      <t>マス</t>
    </rPh>
    <rPh sb="3" eb="5">
      <t>ホンタイ</t>
    </rPh>
    <rPh sb="6" eb="8">
      <t>イッペン</t>
    </rPh>
    <rPh sb="7" eb="8">
      <t>ヘン</t>
    </rPh>
    <rPh sb="9" eb="10">
      <t>ナガ</t>
    </rPh>
    <phoneticPr fontId="21"/>
  </si>
  <si>
    <t>浸透枡本体の高さ（ｍ）</t>
    <rPh sb="0" eb="2">
      <t>シントウ</t>
    </rPh>
    <rPh sb="2" eb="3">
      <t>マス</t>
    </rPh>
    <rPh sb="3" eb="5">
      <t>ホンタイ</t>
    </rPh>
    <rPh sb="6" eb="7">
      <t>タカ</t>
    </rPh>
    <phoneticPr fontId="21"/>
  </si>
  <si>
    <t>浸透枡本体の体積（１個あたり）</t>
    <rPh sb="0" eb="2">
      <t>シントウ</t>
    </rPh>
    <rPh sb="2" eb="3">
      <t>マス</t>
    </rPh>
    <rPh sb="3" eb="5">
      <t>ホンタイ</t>
    </rPh>
    <rPh sb="6" eb="8">
      <t>タイセキ</t>
    </rPh>
    <rPh sb="10" eb="11">
      <t>コ</t>
    </rPh>
    <phoneticPr fontId="21"/>
  </si>
  <si>
    <t>浸透枡本体の貯留効果（１個あたり）</t>
    <rPh sb="0" eb="2">
      <t>シントウ</t>
    </rPh>
    <rPh sb="2" eb="3">
      <t>マス</t>
    </rPh>
    <rPh sb="3" eb="5">
      <t>ホンタイ</t>
    </rPh>
    <rPh sb="6" eb="8">
      <t>チョリュウ</t>
    </rPh>
    <rPh sb="8" eb="10">
      <t>コウカ</t>
    </rPh>
    <rPh sb="12" eb="13">
      <t>コ</t>
    </rPh>
    <phoneticPr fontId="21"/>
  </si>
  <si>
    <t>砕石体積（１個あたり）</t>
    <rPh sb="0" eb="2">
      <t>サイセキ</t>
    </rPh>
    <rPh sb="2" eb="4">
      <t>タイセキ</t>
    </rPh>
    <rPh sb="6" eb="7">
      <t>コ</t>
    </rPh>
    <phoneticPr fontId="21"/>
  </si>
  <si>
    <t>砕石の平均空隙率</t>
    <rPh sb="0" eb="2">
      <t>サイセキ</t>
    </rPh>
    <rPh sb="3" eb="5">
      <t>ヘイキン</t>
    </rPh>
    <rPh sb="5" eb="6">
      <t>カラ</t>
    </rPh>
    <rPh sb="7" eb="8">
      <t>リツ</t>
    </rPh>
    <phoneticPr fontId="21"/>
  </si>
  <si>
    <t>砕石の貯留効果</t>
    <rPh sb="0" eb="2">
      <t>サイセキ</t>
    </rPh>
    <rPh sb="3" eb="5">
      <t>チョリュウ</t>
    </rPh>
    <rPh sb="5" eb="7">
      <t>コウカ</t>
    </rPh>
    <phoneticPr fontId="21"/>
  </si>
  <si>
    <t>貯留効果</t>
    <rPh sb="0" eb="2">
      <t>チョリュウ</t>
    </rPh>
    <rPh sb="2" eb="4">
      <t>コウカ</t>
    </rPh>
    <phoneticPr fontId="21"/>
  </si>
  <si>
    <t>※枡本体が円形の場合</t>
    <rPh sb="1" eb="2">
      <t>マス</t>
    </rPh>
    <rPh sb="2" eb="4">
      <t>ホンタイ</t>
    </rPh>
    <rPh sb="5" eb="7">
      <t>エンケイ</t>
    </rPh>
    <rPh sb="8" eb="10">
      <t>バアイ</t>
    </rPh>
    <phoneticPr fontId="21"/>
  </si>
  <si>
    <t>浸透枡本体の内径（ｍ）</t>
    <rPh sb="0" eb="2">
      <t>シントウ</t>
    </rPh>
    <rPh sb="2" eb="3">
      <t>マス</t>
    </rPh>
    <rPh sb="3" eb="5">
      <t>ホンタイ</t>
    </rPh>
    <rPh sb="6" eb="8">
      <t>ナイケイ</t>
    </rPh>
    <phoneticPr fontId="21"/>
  </si>
  <si>
    <t>1.34*W+0.677</t>
    <phoneticPr fontId="21"/>
  </si>
  <si>
    <t>0.9*0.9</t>
    <phoneticPr fontId="21"/>
  </si>
  <si>
    <t>m</t>
    <phoneticPr fontId="21"/>
  </si>
  <si>
    <t>管・側溝の貯留効果 + 砕石の貯留効果</t>
    <phoneticPr fontId="21"/>
  </si>
  <si>
    <t>管・側溝の貯留効果</t>
    <phoneticPr fontId="21"/>
  </si>
  <si>
    <t>管・側溝の内空断面積 * 数量（延長）</t>
    <phoneticPr fontId="21"/>
  </si>
  <si>
    <t xml:space="preserve"> 砕石の貯留効果</t>
    <phoneticPr fontId="21"/>
  </si>
  <si>
    <t>（設計水頭H * 施設幅W - 管・側溝の内空断面積） * 数量（延長）* 砕石の平均空隙率</t>
    <phoneticPr fontId="21"/>
  </si>
  <si>
    <t>浸透トレンチの対策量</t>
    <rPh sb="0" eb="2">
      <t>シントウ</t>
    </rPh>
    <rPh sb="7" eb="9">
      <t>タイサク</t>
    </rPh>
    <rPh sb="9" eb="10">
      <t>リョウ</t>
    </rPh>
    <phoneticPr fontId="21"/>
  </si>
  <si>
    <t>aH^2+bH+c</t>
    <phoneticPr fontId="2"/>
  </si>
  <si>
    <t>0.120W+0.985</t>
    <phoneticPr fontId="2"/>
  </si>
  <si>
    <t>Ｈ</t>
    <phoneticPr fontId="2"/>
  </si>
  <si>
    <t>Ｗ</t>
    <phoneticPr fontId="2"/>
  </si>
  <si>
    <t>Kf</t>
    <phoneticPr fontId="2"/>
  </si>
  <si>
    <t>係数a</t>
    <rPh sb="0" eb="2">
      <t>ケイスウ</t>
    </rPh>
    <phoneticPr fontId="2"/>
  </si>
  <si>
    <t>c</t>
    <phoneticPr fontId="2"/>
  </si>
  <si>
    <t>7.837W+0.82</t>
    <phoneticPr fontId="2"/>
  </si>
  <si>
    <t>2.858W-0.283</t>
    <phoneticPr fontId="2"/>
  </si>
  <si>
    <t>k0</t>
    <phoneticPr fontId="2"/>
  </si>
  <si>
    <t>C</t>
    <phoneticPr fontId="2"/>
  </si>
  <si>
    <t>Qf</t>
    <phoneticPr fontId="2"/>
  </si>
  <si>
    <t>土壌の飽和透水係数k0 * 設置施設の比浸透量kf * 3600 /100</t>
    <phoneticPr fontId="2"/>
  </si>
  <si>
    <t>0.9*0.9</t>
    <phoneticPr fontId="2"/>
  </si>
  <si>
    <t>Q1</t>
    <phoneticPr fontId="2"/>
  </si>
  <si>
    <t>Qf*C</t>
    <phoneticPr fontId="2"/>
  </si>
  <si>
    <t>w</t>
    <phoneticPr fontId="2"/>
  </si>
  <si>
    <t>V1</t>
    <phoneticPr fontId="2"/>
  </si>
  <si>
    <t>w^2*h</t>
    <phoneticPr fontId="2"/>
  </si>
  <si>
    <t>V2</t>
    <phoneticPr fontId="2"/>
  </si>
  <si>
    <t>W^2*H-V1</t>
    <phoneticPr fontId="2"/>
  </si>
  <si>
    <t>V2*平均空隙率</t>
    <rPh sb="3" eb="5">
      <t>ヘイキン</t>
    </rPh>
    <rPh sb="5" eb="7">
      <t>クウゲキ</t>
    </rPh>
    <rPh sb="7" eb="8">
      <t>リツ</t>
    </rPh>
    <phoneticPr fontId="2"/>
  </si>
  <si>
    <t>q1</t>
    <phoneticPr fontId="2"/>
  </si>
  <si>
    <t>q2</t>
    <phoneticPr fontId="2"/>
  </si>
  <si>
    <t>q1+q2</t>
    <phoneticPr fontId="2"/>
  </si>
  <si>
    <t>浸透桝の数量（個）</t>
    <rPh sb="0" eb="3">
      <t>シントウマス</t>
    </rPh>
    <rPh sb="4" eb="6">
      <t>スウリョウ</t>
    </rPh>
    <rPh sb="7" eb="8">
      <t>コ</t>
    </rPh>
    <phoneticPr fontId="2"/>
  </si>
  <si>
    <t>(w/2)^2*3.14*h</t>
    <phoneticPr fontId="2"/>
  </si>
  <si>
    <t>管・側溝の内空断面積</t>
    <rPh sb="0" eb="1">
      <t>カン</t>
    </rPh>
    <rPh sb="2" eb="4">
      <t>ソッコウ</t>
    </rPh>
    <rPh sb="5" eb="7">
      <t>ナイクウ</t>
    </rPh>
    <rPh sb="7" eb="10">
      <t>ダンメンセキ</t>
    </rPh>
    <phoneticPr fontId="21"/>
  </si>
  <si>
    <t>材料別の空隙率</t>
    <rPh sb="0" eb="2">
      <t>ザイリョウ</t>
    </rPh>
    <rPh sb="2" eb="3">
      <t>ベツ</t>
    </rPh>
    <rPh sb="4" eb="6">
      <t>クウゲキ</t>
    </rPh>
    <rPh sb="6" eb="7">
      <t>リツ</t>
    </rPh>
    <phoneticPr fontId="21"/>
  </si>
  <si>
    <t>道路排水施設への流入量算定書</t>
    <rPh sb="0" eb="2">
      <t>ドウロ</t>
    </rPh>
    <rPh sb="2" eb="4">
      <t>ハイスイ</t>
    </rPh>
    <rPh sb="4" eb="6">
      <t>シセツ</t>
    </rPh>
    <rPh sb="8" eb="14">
      <t>リュウニュウリョウサンテイショ</t>
    </rPh>
    <phoneticPr fontId="2"/>
  </si>
  <si>
    <t>（市街化区域及びDID地区）</t>
    <phoneticPr fontId="2"/>
  </si>
  <si>
    <t>判定で申請地が集水可能な沿道幅Bを超えた場合、流出抑制対策が必要となります。</t>
    <rPh sb="0" eb="2">
      <t>ハンテイ</t>
    </rPh>
    <rPh sb="3" eb="5">
      <t>シンセイ</t>
    </rPh>
    <rPh sb="5" eb="6">
      <t>チ</t>
    </rPh>
    <rPh sb="7" eb="9">
      <t>シュウスイ</t>
    </rPh>
    <rPh sb="9" eb="11">
      <t>カノウ</t>
    </rPh>
    <rPh sb="12" eb="14">
      <t>エンドウ</t>
    </rPh>
    <rPh sb="14" eb="15">
      <t>ハバ</t>
    </rPh>
    <rPh sb="17" eb="18">
      <t>コ</t>
    </rPh>
    <rPh sb="20" eb="22">
      <t>バアイ</t>
    </rPh>
    <rPh sb="23" eb="25">
      <t>リュウシュツ</t>
    </rPh>
    <rPh sb="25" eb="27">
      <t>ヨクセイ</t>
    </rPh>
    <rPh sb="27" eb="29">
      <t>タイサク</t>
    </rPh>
    <rPh sb="30" eb="32">
      <t>ヒツヨウ</t>
    </rPh>
    <phoneticPr fontId="2"/>
  </si>
  <si>
    <t>【抑制対策量の算定】</t>
    <rPh sb="1" eb="3">
      <t>ヨクセイ</t>
    </rPh>
    <rPh sb="3" eb="5">
      <t>タイサク</t>
    </rPh>
    <rPh sb="5" eb="6">
      <t>リョウ</t>
    </rPh>
    <rPh sb="7" eb="9">
      <t>サンテイ</t>
    </rPh>
    <phoneticPr fontId="2"/>
  </si>
  <si>
    <t>抑制対策量T</t>
    <rPh sb="0" eb="2">
      <t>ヨクセイ</t>
    </rPh>
    <rPh sb="2" eb="4">
      <t>タイサク</t>
    </rPh>
    <rPh sb="4" eb="5">
      <t>リョウ</t>
    </rPh>
    <phoneticPr fontId="2"/>
  </si>
  <si>
    <t>前項までに算出した数値（再掲）</t>
    <rPh sb="5" eb="7">
      <t>サンシュツ</t>
    </rPh>
    <rPh sb="12" eb="14">
      <t>サイケイ</t>
    </rPh>
    <phoneticPr fontId="2"/>
  </si>
  <si>
    <t>浄化槽を加味した申請地の奥行</t>
    <rPh sb="0" eb="3">
      <t>ジョウカソウ</t>
    </rPh>
    <rPh sb="4" eb="6">
      <t>カミ</t>
    </rPh>
    <rPh sb="8" eb="10">
      <t>シンセイ</t>
    </rPh>
    <rPh sb="10" eb="11">
      <t>チ</t>
    </rPh>
    <rPh sb="12" eb="14">
      <t>オクユ</t>
    </rPh>
    <phoneticPr fontId="2"/>
  </si>
  <si>
    <t>沿道敷地の流出係数</t>
    <rPh sb="0" eb="2">
      <t>エンドウ</t>
    </rPh>
    <rPh sb="2" eb="4">
      <t>シキチ</t>
    </rPh>
    <rPh sb="5" eb="7">
      <t>リュウシュツ</t>
    </rPh>
    <rPh sb="7" eb="9">
      <t>ケイスウ</t>
    </rPh>
    <phoneticPr fontId="2"/>
  </si>
  <si>
    <t>集水可能な沿道幅Ｂ</t>
    <rPh sb="0" eb="2">
      <t>シュウスイ</t>
    </rPh>
    <rPh sb="2" eb="4">
      <t>カノウ</t>
    </rPh>
    <rPh sb="5" eb="7">
      <t>エンドウ</t>
    </rPh>
    <rPh sb="7" eb="8">
      <t>ハバ</t>
    </rPh>
    <phoneticPr fontId="2"/>
  </si>
  <si>
    <t>申請地の方形修正間口ｙ</t>
    <phoneticPr fontId="2"/>
  </si>
  <si>
    <t>【流出抑制対策の内容と抑制量】</t>
    <rPh sb="1" eb="3">
      <t>リュウシュツ</t>
    </rPh>
    <rPh sb="3" eb="5">
      <t>ヨクセイ</t>
    </rPh>
    <rPh sb="5" eb="7">
      <t>タイサク</t>
    </rPh>
    <rPh sb="8" eb="10">
      <t>ナイヨウ</t>
    </rPh>
    <rPh sb="11" eb="14">
      <t>ヨクセイリョウ</t>
    </rPh>
    <phoneticPr fontId="2"/>
  </si>
  <si>
    <t>（参考）</t>
    <rPh sb="1" eb="3">
      <t>サンコウ</t>
    </rPh>
    <phoneticPr fontId="2"/>
  </si>
  <si>
    <t>上記指針は、次のサイトからダウンロードできます。</t>
    <rPh sb="0" eb="2">
      <t>ジョウキ</t>
    </rPh>
    <rPh sb="2" eb="4">
      <t>シシン</t>
    </rPh>
    <rPh sb="6" eb="7">
      <t>ツギ</t>
    </rPh>
    <phoneticPr fontId="2"/>
  </si>
  <si>
    <t>表　流出抑制対策　施工内容一覧表</t>
    <phoneticPr fontId="2"/>
  </si>
  <si>
    <t>施設</t>
    <rPh sb="0" eb="2">
      <t>シセツ</t>
    </rPh>
    <phoneticPr fontId="2"/>
  </si>
  <si>
    <t>浸透対策量</t>
    <rPh sb="0" eb="2">
      <t>シントウ</t>
    </rPh>
    <rPh sb="2" eb="4">
      <t>タイサク</t>
    </rPh>
    <rPh sb="4" eb="5">
      <t>リョウ</t>
    </rPh>
    <phoneticPr fontId="2"/>
  </si>
  <si>
    <t>貯留効果</t>
    <rPh sb="0" eb="2">
      <t>チョリュウ</t>
    </rPh>
    <rPh sb="2" eb="4">
      <t>コウカ</t>
    </rPh>
    <phoneticPr fontId="2"/>
  </si>
  <si>
    <t>合　　計</t>
    <rPh sb="0" eb="1">
      <t>ゴウ</t>
    </rPh>
    <rPh sb="3" eb="4">
      <t>ケイ</t>
    </rPh>
    <phoneticPr fontId="2"/>
  </si>
  <si>
    <t>【流出抑制対策の判定】</t>
    <rPh sb="1" eb="3">
      <t>リュウシュツ</t>
    </rPh>
    <rPh sb="3" eb="5">
      <t>ヨクセイ</t>
    </rPh>
    <rPh sb="5" eb="7">
      <t>タイサク</t>
    </rPh>
    <rPh sb="8" eb="10">
      <t>ハンテイ</t>
    </rPh>
    <phoneticPr fontId="2"/>
  </si>
  <si>
    <t>抑制対策量T（再掲）</t>
    <rPh sb="7" eb="9">
      <t>サイケイ</t>
    </rPh>
    <phoneticPr fontId="2"/>
  </si>
  <si>
    <t>流出抑制量</t>
    <rPh sb="0" eb="2">
      <t>リュウシュツ</t>
    </rPh>
    <rPh sb="2" eb="5">
      <t>ヨクセイリョウ</t>
    </rPh>
    <phoneticPr fontId="2"/>
  </si>
  <si>
    <t>浸透対策量合計　＋　貯留効果合計</t>
    <rPh sb="5" eb="7">
      <t>ゴウケイ</t>
    </rPh>
    <rPh sb="14" eb="16">
      <t>ゴウケイ</t>
    </rPh>
    <phoneticPr fontId="2"/>
  </si>
  <si>
    <t>・・・・・①</t>
    <phoneticPr fontId="2"/>
  </si>
  <si>
    <t>・・・・・②</t>
    <phoneticPr fontId="2"/>
  </si>
  <si>
    <t>自動計算結果</t>
    <rPh sb="0" eb="2">
      <t>ジドウ</t>
    </rPh>
    <rPh sb="2" eb="4">
      <t>ケイサン</t>
    </rPh>
    <rPh sb="4" eb="6">
      <t>ケッカ</t>
    </rPh>
    <phoneticPr fontId="2"/>
  </si>
  <si>
    <t xml:space="preserve"> ①＞②のため、別途対策を行う。</t>
    <rPh sb="8" eb="10">
      <t>ベット</t>
    </rPh>
    <rPh sb="10" eb="12">
      <t>タイサク</t>
    </rPh>
    <rPh sb="13" eb="14">
      <t>オコナ</t>
    </rPh>
    <phoneticPr fontId="2"/>
  </si>
  <si>
    <t xml:space="preserve"> ①＜②のため、以上の流出抑制対策を行う。</t>
    <rPh sb="8" eb="10">
      <t>イジョウ</t>
    </rPh>
    <rPh sb="11" eb="13">
      <t>リュウシュツ</t>
    </rPh>
    <rPh sb="13" eb="15">
      <t>ヨクセイ</t>
    </rPh>
    <rPh sb="15" eb="17">
      <t>タイサク</t>
    </rPh>
    <rPh sb="18" eb="19">
      <t>オコナ</t>
    </rPh>
    <phoneticPr fontId="2"/>
  </si>
  <si>
    <t>別途、対策方法を明示した資料を添付する。</t>
    <rPh sb="0" eb="2">
      <t>ベット</t>
    </rPh>
    <rPh sb="3" eb="5">
      <t>タイサク</t>
    </rPh>
    <rPh sb="5" eb="7">
      <t>ホウホウ</t>
    </rPh>
    <rPh sb="8" eb="10">
      <t>メイジ</t>
    </rPh>
    <rPh sb="12" eb="14">
      <t>シリョウ</t>
    </rPh>
    <rPh sb="15" eb="17">
      <t>テンプ</t>
    </rPh>
    <phoneticPr fontId="2"/>
  </si>
  <si>
    <t>検討終了</t>
    <rPh sb="0" eb="2">
      <t>ケントウ</t>
    </rPh>
    <rPh sb="2" eb="4">
      <t>シュウリョウ</t>
    </rPh>
    <phoneticPr fontId="2"/>
  </si>
  <si>
    <t>（独自の排水施設の設置、承認工事による道路側溝の改修等）</t>
    <rPh sb="1" eb="3">
      <t>ドクジ</t>
    </rPh>
    <rPh sb="4" eb="6">
      <t>ハイスイ</t>
    </rPh>
    <rPh sb="6" eb="8">
      <t>シセツ</t>
    </rPh>
    <rPh sb="9" eb="11">
      <t>セッチ</t>
    </rPh>
    <rPh sb="12" eb="14">
      <t>ショウニン</t>
    </rPh>
    <rPh sb="14" eb="16">
      <t>コウジ</t>
    </rPh>
    <rPh sb="19" eb="21">
      <t>ドウロ</t>
    </rPh>
    <rPh sb="21" eb="23">
      <t>ソッコウ</t>
    </rPh>
    <rPh sb="24" eb="26">
      <t>カイシュウ</t>
    </rPh>
    <rPh sb="26" eb="27">
      <t>トウ</t>
    </rPh>
    <phoneticPr fontId="2"/>
  </si>
  <si>
    <t>流出抑制面積</t>
    <rPh sb="0" eb="2">
      <t>リュウシュツ</t>
    </rPh>
    <rPh sb="2" eb="4">
      <t>ヨクセイ</t>
    </rPh>
    <rPh sb="4" eb="6">
      <t>メンセキ</t>
    </rPh>
    <phoneticPr fontId="2"/>
  </si>
  <si>
    <t>※別紙に集水可能な沿道幅を道路から平行に引き、外れた部分の面積を求積する。</t>
    <rPh sb="1" eb="3">
      <t>ベッシ</t>
    </rPh>
    <rPh sb="4" eb="6">
      <t>シュウスイ</t>
    </rPh>
    <rPh sb="6" eb="8">
      <t>カノウ</t>
    </rPh>
    <rPh sb="9" eb="11">
      <t>エンドウ</t>
    </rPh>
    <rPh sb="11" eb="12">
      <t>ハバ</t>
    </rPh>
    <rPh sb="13" eb="15">
      <t>ドウロ</t>
    </rPh>
    <rPh sb="17" eb="19">
      <t>ヘイコウ</t>
    </rPh>
    <rPh sb="20" eb="21">
      <t>ヒ</t>
    </rPh>
    <rPh sb="23" eb="24">
      <t>ハズ</t>
    </rPh>
    <rPh sb="26" eb="28">
      <t>ブブン</t>
    </rPh>
    <rPh sb="29" eb="31">
      <t>メンセキ</t>
    </rPh>
    <rPh sb="32" eb="34">
      <t>キュウセキ</t>
    </rPh>
    <phoneticPr fontId="2"/>
  </si>
  <si>
    <t>※1　　別紙に浸透対策量、貯留効果の算出根拠を添付すること。</t>
    <rPh sb="4" eb="6">
      <t>ベッシ</t>
    </rPh>
    <rPh sb="7" eb="9">
      <t>シントウ</t>
    </rPh>
    <rPh sb="9" eb="11">
      <t>タイサク</t>
    </rPh>
    <rPh sb="11" eb="12">
      <t>リョウ</t>
    </rPh>
    <rPh sb="13" eb="15">
      <t>チョリュウ</t>
    </rPh>
    <rPh sb="15" eb="17">
      <t>コウカ</t>
    </rPh>
    <rPh sb="18" eb="20">
      <t>サンシュツ</t>
    </rPh>
    <rPh sb="20" eb="22">
      <t>コンキョ</t>
    </rPh>
    <rPh sb="23" eb="25">
      <t>テンプ</t>
    </rPh>
    <phoneticPr fontId="2"/>
  </si>
  <si>
    <t>その他（　　　　　　　　）※1　</t>
    <rPh sb="2" eb="3">
      <t>タ</t>
    </rPh>
    <phoneticPr fontId="2"/>
  </si>
  <si>
    <t>貯留効果（1個あたり）</t>
    <rPh sb="0" eb="2">
      <t>チョリュウ</t>
    </rPh>
    <rPh sb="2" eb="4">
      <t>コウカ</t>
    </rPh>
    <rPh sb="6" eb="7">
      <t>コ</t>
    </rPh>
    <phoneticPr fontId="21"/>
  </si>
  <si>
    <t>単位設計浸透量Q * 浸透桝の数量（個）</t>
    <phoneticPr fontId="2"/>
  </si>
  <si>
    <t>浸透対策量</t>
    <phoneticPr fontId="2"/>
  </si>
  <si>
    <t>m3/hr</t>
    <phoneticPr fontId="2"/>
  </si>
  <si>
    <t>貯留効果</t>
    <phoneticPr fontId="2"/>
  </si>
  <si>
    <t>Q2</t>
    <phoneticPr fontId="2"/>
  </si>
  <si>
    <t>貯留効果（1個あたり）*浸透桝の数量（個）</t>
    <phoneticPr fontId="2"/>
  </si>
  <si>
    <t>m3</t>
    <phoneticPr fontId="2"/>
  </si>
  <si>
    <t>（市街化調整区域）</t>
    <rPh sb="4" eb="6">
      <t>チョウセイ</t>
    </rPh>
    <phoneticPr fontId="2"/>
  </si>
  <si>
    <t>流出量</t>
    <rPh sb="0" eb="3">
      <t>リュウシュツリョウ</t>
    </rPh>
    <phoneticPr fontId="2"/>
  </si>
  <si>
    <t>通水量</t>
    <rPh sb="0" eb="1">
      <t>ツウ</t>
    </rPh>
    <rPh sb="1" eb="3">
      <t>スイリョウ</t>
    </rPh>
    <phoneticPr fontId="2"/>
  </si>
  <si>
    <t>-</t>
    <phoneticPr fontId="2"/>
  </si>
  <si>
    <t>共通</t>
    <phoneticPr fontId="2"/>
  </si>
  <si>
    <t>流量調整機能</t>
    <rPh sb="0" eb="2">
      <t>リュウリョウ</t>
    </rPh>
    <rPh sb="2" eb="4">
      <t>チョウセイ</t>
    </rPh>
    <rPh sb="4" eb="6">
      <t>キノウ</t>
    </rPh>
    <phoneticPr fontId="2"/>
  </si>
  <si>
    <t>1：あり、2：なし</t>
    <phoneticPr fontId="2"/>
  </si>
  <si>
    <t>流量調整機能ｃ</t>
    <rPh sb="0" eb="2">
      <t>リュウリョウ</t>
    </rPh>
    <rPh sb="2" eb="4">
      <t>チョウセイ</t>
    </rPh>
    <rPh sb="4" eb="6">
      <t>キノウ</t>
    </rPh>
    <phoneticPr fontId="2"/>
  </si>
  <si>
    <r>
      <t>B　＝　〔（３，６００，０００×Ｑ）－（９０×Ｗ／２×Ｌ）〕÷（沿道敷地の流出係数×</t>
    </r>
    <r>
      <rPr>
        <sz val="11"/>
        <rFont val="ＭＳ Ｐゴシック"/>
        <family val="3"/>
        <charset val="128"/>
      </rPr>
      <t>100</t>
    </r>
    <r>
      <rPr>
        <sz val="11"/>
        <rFont val="ＭＳ Ｐゴシック"/>
        <family val="3"/>
        <charset val="128"/>
      </rPr>
      <t>×Ｌ）</t>
    </r>
    <r>
      <rPr>
        <sz val="11"/>
        <rFont val="ＭＳ Ｐゴシック"/>
        <family val="3"/>
        <charset val="128"/>
      </rPr>
      <t/>
    </r>
    <rPh sb="32" eb="34">
      <t>エンドウ</t>
    </rPh>
    <rPh sb="34" eb="36">
      <t>シキチ</t>
    </rPh>
    <rPh sb="37" eb="39">
      <t>リュウシュツ</t>
    </rPh>
    <rPh sb="39" eb="41">
      <t>ケイスウ</t>
    </rPh>
    <phoneticPr fontId="2"/>
  </si>
  <si>
    <t>（ｘ+α－Ｂ）＝</t>
    <phoneticPr fontId="2"/>
  </si>
  <si>
    <t>0.9*0.5</t>
    <phoneticPr fontId="21"/>
  </si>
  <si>
    <t>入力箇所（再掲）</t>
    <rPh sb="0" eb="2">
      <t>ニュウリョク</t>
    </rPh>
    <rPh sb="2" eb="4">
      <t>カショ</t>
    </rPh>
    <rPh sb="5" eb="7">
      <t>サイケイ</t>
    </rPh>
    <phoneticPr fontId="2"/>
  </si>
  <si>
    <t>区間⑪</t>
    <rPh sb="0" eb="2">
      <t>クカン</t>
    </rPh>
    <phoneticPr fontId="2"/>
  </si>
  <si>
    <t>区間⑫</t>
    <rPh sb="0" eb="2">
      <t>クカン</t>
    </rPh>
    <phoneticPr fontId="2"/>
  </si>
  <si>
    <t>区間⑬</t>
    <rPh sb="0" eb="2">
      <t>クカン</t>
    </rPh>
    <phoneticPr fontId="2"/>
  </si>
  <si>
    <t>区間⑭</t>
    <rPh sb="0" eb="2">
      <t>クカン</t>
    </rPh>
    <phoneticPr fontId="2"/>
  </si>
  <si>
    <t>区間⑮</t>
    <rPh sb="0" eb="2">
      <t>クカン</t>
    </rPh>
    <phoneticPr fontId="2"/>
  </si>
  <si>
    <r>
      <t xml:space="preserve">水面勾配: 
</t>
    </r>
    <r>
      <rPr>
        <sz val="8"/>
        <rFont val="ＭＳ Ｐゴシック"/>
        <family val="3"/>
        <charset val="128"/>
      </rPr>
      <t>(高低差h(m)/水平距離L(m))*100</t>
    </r>
    <rPh sb="0" eb="2">
      <t>スイメン</t>
    </rPh>
    <rPh sb="2" eb="4">
      <t>コウバイ</t>
    </rPh>
    <phoneticPr fontId="2"/>
  </si>
  <si>
    <t>申請地が市街化区域及びＤＩＤ地区ではない場合、道路区域と申請地からの流入を確認します。</t>
    <phoneticPr fontId="2"/>
  </si>
  <si>
    <t>ただし、山間部における法面など地形的に集水が想定される区域は、流入量に加算してください。</t>
    <phoneticPr fontId="2"/>
  </si>
  <si>
    <t>流末水路間に市街地区域又はＤＩＤ地区が含まれている場合は、市街地区域の算定方法となるので注意してください。</t>
    <phoneticPr fontId="2"/>
  </si>
  <si>
    <t>申請地が市街化区域及びＤＩＤ地区の場合、申請地が集水可能な沿道幅に収まっているかを確認します。</t>
    <phoneticPr fontId="2"/>
  </si>
  <si>
    <t>超過した場合は流出抑制対策が必要です。</t>
    <phoneticPr fontId="2"/>
  </si>
  <si>
    <t>流末水路間で道路側溝断面の変化がある場合、それぞれの区間で沿道幅を算定し、狭いほうを採用してください。</t>
    <phoneticPr fontId="2"/>
  </si>
  <si>
    <r>
      <t xml:space="preserve">I </t>
    </r>
    <r>
      <rPr>
        <vertAlign val="superscript"/>
        <sz val="11"/>
        <rFont val="ＭＳ Ｐゴシック"/>
        <family val="3"/>
        <charset val="128"/>
      </rPr>
      <t>1/2</t>
    </r>
    <phoneticPr fontId="2"/>
  </si>
  <si>
    <r>
      <t xml:space="preserve">R </t>
    </r>
    <r>
      <rPr>
        <vertAlign val="superscript"/>
        <sz val="11"/>
        <rFont val="ＭＳ Ｐゴシック"/>
        <family val="3"/>
        <charset val="128"/>
      </rPr>
      <t>2/3</t>
    </r>
    <phoneticPr fontId="2"/>
  </si>
  <si>
    <t>1/n</t>
    <phoneticPr fontId="2"/>
  </si>
  <si>
    <t>②浸透側溝・浸透トレンチ</t>
    <rPh sb="1" eb="3">
      <t>シントウ</t>
    </rPh>
    <rPh sb="3" eb="5">
      <t>ソッコウ</t>
    </rPh>
    <rPh sb="6" eb="8">
      <t>シントウ</t>
    </rPh>
    <phoneticPr fontId="2"/>
  </si>
  <si>
    <t>①透水性舗装</t>
    <rPh sb="1" eb="4">
      <t>トウスイセイ</t>
    </rPh>
    <rPh sb="4" eb="6">
      <t>ホソウ</t>
    </rPh>
    <phoneticPr fontId="2"/>
  </si>
  <si>
    <t>③浸透枡（正方形）桝本体正方形</t>
    <rPh sb="1" eb="4">
      <t>シントウマス</t>
    </rPh>
    <rPh sb="5" eb="8">
      <t>セイホウケイ</t>
    </rPh>
    <rPh sb="9" eb="10">
      <t>マス</t>
    </rPh>
    <rPh sb="10" eb="12">
      <t>ホンタイ</t>
    </rPh>
    <rPh sb="12" eb="15">
      <t>セイホウケイ</t>
    </rPh>
    <phoneticPr fontId="2"/>
  </si>
  <si>
    <t>④浸透枡（正方形）桝本体円形</t>
    <rPh sb="1" eb="4">
      <t>シントウマス</t>
    </rPh>
    <rPh sb="5" eb="8">
      <t>セイホウケイ</t>
    </rPh>
    <rPh sb="12" eb="13">
      <t>エン</t>
    </rPh>
    <phoneticPr fontId="2"/>
  </si>
  <si>
    <t>①透水性舗装抑制対策量計算</t>
    <rPh sb="11" eb="13">
      <t>ケイサン</t>
    </rPh>
    <phoneticPr fontId="21"/>
  </si>
  <si>
    <t>②浸透トレンチ、浸透側溝抑制対策量計算</t>
    <rPh sb="17" eb="19">
      <t>ケイサン</t>
    </rPh>
    <phoneticPr fontId="21"/>
  </si>
  <si>
    <t>③浸透桝（正方形）抑制対策量計算</t>
    <rPh sb="1" eb="4">
      <t>シントウマス</t>
    </rPh>
    <rPh sb="5" eb="8">
      <t>セイホウケイ</t>
    </rPh>
    <rPh sb="9" eb="11">
      <t>ヨクセイ</t>
    </rPh>
    <rPh sb="14" eb="16">
      <t>ケイサン</t>
    </rPh>
    <phoneticPr fontId="21"/>
  </si>
  <si>
    <t>②浸透トレンチ、浸透側溝抑制対策（参考資料）</t>
    <rPh sb="17" eb="19">
      <t>サンコウ</t>
    </rPh>
    <rPh sb="19" eb="21">
      <t>シリョウ</t>
    </rPh>
    <phoneticPr fontId="21"/>
  </si>
  <si>
    <t>①透水性舗装抑制対策（参考資料）</t>
    <rPh sb="11" eb="13">
      <t>サンコウ</t>
    </rPh>
    <rPh sb="13" eb="15">
      <t>シリョウ</t>
    </rPh>
    <phoneticPr fontId="21"/>
  </si>
  <si>
    <t>③浸透桝（正方形）抑制対（参考資料）</t>
    <rPh sb="1" eb="4">
      <t>シントウマス</t>
    </rPh>
    <rPh sb="5" eb="8">
      <t>セイホウケイ</t>
    </rPh>
    <rPh sb="9" eb="11">
      <t>ヨクセイ</t>
    </rPh>
    <rPh sb="13" eb="15">
      <t>サンコウ</t>
    </rPh>
    <rPh sb="15" eb="17">
      <t>シリョウ</t>
    </rPh>
    <phoneticPr fontId="21"/>
  </si>
  <si>
    <t>④浸透枡（正方形ます）抑制対策量計算</t>
    <rPh sb="1" eb="3">
      <t>シントウ</t>
    </rPh>
    <rPh sb="3" eb="4">
      <t>マス</t>
    </rPh>
    <rPh sb="5" eb="8">
      <t>セイホウケイ</t>
    </rPh>
    <phoneticPr fontId="21"/>
  </si>
  <si>
    <t>④浸透枡（正方形ます）抑制対策（参考資料）</t>
    <rPh sb="1" eb="3">
      <t>シントウ</t>
    </rPh>
    <rPh sb="3" eb="4">
      <t>マス</t>
    </rPh>
    <rPh sb="5" eb="8">
      <t>セイホウケイ</t>
    </rPh>
    <rPh sb="16" eb="18">
      <t>サンコウ</t>
    </rPh>
    <rPh sb="18" eb="20">
      <t>シリョウ</t>
    </rPh>
    <phoneticPr fontId="21"/>
  </si>
  <si>
    <t>道路排水施設への流入量算定書　データ入力欄</t>
    <rPh sb="18" eb="20">
      <t>ニュウリョク</t>
    </rPh>
    <rPh sb="20" eb="21">
      <t>ラン</t>
    </rPh>
    <phoneticPr fontId="2"/>
  </si>
  <si>
    <t>※</t>
    <phoneticPr fontId="2"/>
  </si>
  <si>
    <t>a（㎡）</t>
    <phoneticPr fontId="2"/>
  </si>
  <si>
    <t>地域的集水区域（道路区域外）</t>
    <rPh sb="0" eb="2">
      <t>チイキ</t>
    </rPh>
    <rPh sb="2" eb="3">
      <t>テキ</t>
    </rPh>
    <rPh sb="3" eb="4">
      <t>アツマリ</t>
    </rPh>
    <rPh sb="4" eb="5">
      <t>ミズ</t>
    </rPh>
    <rPh sb="5" eb="7">
      <t>クイキ</t>
    </rPh>
    <rPh sb="8" eb="10">
      <t>ドウロ</t>
    </rPh>
    <rPh sb="10" eb="13">
      <t>クイキガイ</t>
    </rPh>
    <phoneticPr fontId="2"/>
  </si>
  <si>
    <t>地域的集水区域（道路区域外）</t>
    <phoneticPr fontId="2"/>
  </si>
  <si>
    <t>地域的集水区域（道路区域外）
地表面の種類</t>
    <rPh sb="0" eb="3">
      <t>チイキテキ</t>
    </rPh>
    <rPh sb="3" eb="5">
      <t>シュウスイ</t>
    </rPh>
    <rPh sb="5" eb="7">
      <t>クイキ</t>
    </rPh>
    <rPh sb="15" eb="18">
      <t>チヒョウメン</t>
    </rPh>
    <rPh sb="19" eb="21">
      <t>シュルイ</t>
    </rPh>
    <phoneticPr fontId="2"/>
  </si>
  <si>
    <r>
      <t>※</t>
    </r>
    <r>
      <rPr>
        <b/>
        <sz val="9"/>
        <rFont val="ＭＳ Ｐゴシック"/>
        <family val="3"/>
        <charset val="128"/>
      </rPr>
      <t>別表２</t>
    </r>
    <r>
      <rPr>
        <sz val="9"/>
        <rFont val="ＭＳ Ｐゴシック"/>
        <family val="3"/>
        <charset val="128"/>
      </rPr>
      <t>へ入力
   複数の場合は、平均値</t>
    </r>
    <rPh sb="1" eb="2">
      <t>ベツ</t>
    </rPh>
    <rPh sb="2" eb="3">
      <t>ヒョウ</t>
    </rPh>
    <rPh sb="5" eb="7">
      <t>ニュウリョク</t>
    </rPh>
    <rPh sb="11" eb="13">
      <t>フクスウ</t>
    </rPh>
    <rPh sb="14" eb="16">
      <t>バアイ</t>
    </rPh>
    <rPh sb="18" eb="20">
      <t>ヘイキン</t>
    </rPh>
    <rPh sb="20" eb="21">
      <t>アタイ</t>
    </rPh>
    <phoneticPr fontId="2"/>
  </si>
  <si>
    <r>
      <t>※地表面の種類毎に、</t>
    </r>
    <r>
      <rPr>
        <b/>
        <sz val="9"/>
        <rFont val="ＭＳ Ｐゴシック"/>
        <family val="3"/>
        <charset val="128"/>
      </rPr>
      <t>別表２</t>
    </r>
    <r>
      <rPr>
        <sz val="9"/>
        <rFont val="ＭＳ Ｐゴシック"/>
        <family val="3"/>
        <charset val="128"/>
      </rPr>
      <t>へ入力</t>
    </r>
    <rPh sb="1" eb="4">
      <t>チヒョウメン</t>
    </rPh>
    <rPh sb="5" eb="7">
      <t>シュルイ</t>
    </rPh>
    <rPh sb="7" eb="8">
      <t>ゴト</t>
    </rPh>
    <rPh sb="10" eb="12">
      <t>ベッピョウ</t>
    </rPh>
    <rPh sb="14" eb="16">
      <t>ニュウリョク</t>
    </rPh>
    <phoneticPr fontId="2"/>
  </si>
  <si>
    <t>記号</t>
    <rPh sb="0" eb="1">
      <t>キ</t>
    </rPh>
    <rPh sb="1" eb="2">
      <t>ゴウ</t>
    </rPh>
    <phoneticPr fontId="2"/>
  </si>
  <si>
    <t>(奥行ｘ+α)</t>
    <rPh sb="1" eb="3">
      <t>オクユ</t>
    </rPh>
    <phoneticPr fontId="2"/>
  </si>
  <si>
    <r>
      <t>※幅は歩道を含めた全幅
※延長は流始から流末まで
※</t>
    </r>
    <r>
      <rPr>
        <b/>
        <sz val="9"/>
        <rFont val="ＭＳ Ｐゴシック"/>
        <family val="3"/>
        <charset val="128"/>
      </rPr>
      <t>別表１</t>
    </r>
    <r>
      <rPr>
        <sz val="9"/>
        <rFont val="ＭＳ Ｐゴシック"/>
        <family val="3"/>
        <charset val="128"/>
      </rPr>
      <t>に入力し、平均・合計を入力すること</t>
    </r>
    <rPh sb="26" eb="27">
      <t>ベツ</t>
    </rPh>
    <rPh sb="27" eb="28">
      <t>ヒョウ</t>
    </rPh>
    <rPh sb="30" eb="32">
      <t>ニュウリョク</t>
    </rPh>
    <rPh sb="34" eb="36">
      <t>ヘイキン</t>
    </rPh>
    <rPh sb="37" eb="39">
      <t>ゴウケイ</t>
    </rPh>
    <rPh sb="40" eb="42">
      <t>ニュウリョク</t>
    </rPh>
    <phoneticPr fontId="2"/>
  </si>
  <si>
    <r>
      <t>1 / 3,600,000 * 沿道敷地の流出係数 *</t>
    </r>
    <r>
      <rPr>
        <sz val="9"/>
        <color indexed="10"/>
        <rFont val="ＭＳ Ｐゴシック"/>
        <family val="3"/>
        <charset val="128"/>
      </rPr>
      <t xml:space="preserve"> </t>
    </r>
    <r>
      <rPr>
        <sz val="9"/>
        <color indexed="36"/>
        <rFont val="ＭＳ Ｐゴシック"/>
        <family val="3"/>
        <charset val="128"/>
      </rPr>
      <t>100</t>
    </r>
    <r>
      <rPr>
        <sz val="9"/>
        <rFont val="ＭＳ Ｐゴシック"/>
        <family val="3"/>
        <charset val="128"/>
      </rPr>
      <t xml:space="preserve"> *流出抑制面積</t>
    </r>
    <rPh sb="16" eb="18">
      <t>エンドウ</t>
    </rPh>
    <rPh sb="18" eb="20">
      <t>シキチ</t>
    </rPh>
    <rPh sb="21" eb="23">
      <t>リュウシュツ</t>
    </rPh>
    <rPh sb="23" eb="25">
      <t>ケイスウ</t>
    </rPh>
    <rPh sb="33" eb="35">
      <t>リュウシュツ</t>
    </rPh>
    <rPh sb="35" eb="37">
      <t>ヨクセイ</t>
    </rPh>
    <rPh sb="37" eb="39">
      <t>メンセキ</t>
    </rPh>
    <phoneticPr fontId="2"/>
  </si>
  <si>
    <r>
      <t>m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/s</t>
    </r>
    <phoneticPr fontId="2"/>
  </si>
  <si>
    <r>
      <t>m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/hr</t>
    </r>
    <phoneticPr fontId="2"/>
  </si>
  <si>
    <r>
      <t>m</t>
    </r>
    <r>
      <rPr>
        <vertAlign val="superscript"/>
        <sz val="9"/>
        <rFont val="ＭＳ Ｐゴシック"/>
        <family val="3"/>
        <charset val="128"/>
      </rPr>
      <t>3</t>
    </r>
    <phoneticPr fontId="2"/>
  </si>
  <si>
    <t>（水量は小数6桁を四捨五入）</t>
    <rPh sb="1" eb="3">
      <t>スイリョウ</t>
    </rPh>
    <rPh sb="4" eb="5">
      <t>ショウ</t>
    </rPh>
    <rPh sb="5" eb="6">
      <t>スウ</t>
    </rPh>
    <rPh sb="7" eb="8">
      <t>ケタ</t>
    </rPh>
    <rPh sb="9" eb="13">
      <t>シシャゴニュウ</t>
    </rPh>
    <phoneticPr fontId="2"/>
  </si>
  <si>
    <t>（水量は小数6桁を四捨五入）</t>
    <phoneticPr fontId="2"/>
  </si>
  <si>
    <t>（小数３位を四捨五入）</t>
    <rPh sb="1" eb="3">
      <t>ショウスウ</t>
    </rPh>
    <rPh sb="4" eb="5">
      <t>イ</t>
    </rPh>
    <rPh sb="6" eb="10">
      <t>シシャゴニュウ</t>
    </rPh>
    <phoneticPr fontId="2"/>
  </si>
  <si>
    <t>平成２９年１０月　愛知県建設部河川課編を参照のこと。</t>
    <rPh sb="0" eb="2">
      <t>ヘイセイ</t>
    </rPh>
    <rPh sb="4" eb="5">
      <t>ネン</t>
    </rPh>
    <rPh sb="7" eb="8">
      <t>ガツ</t>
    </rPh>
    <rPh sb="9" eb="12">
      <t>アイチケン</t>
    </rPh>
    <rPh sb="12" eb="14">
      <t>ケンセツ</t>
    </rPh>
    <rPh sb="14" eb="15">
      <t>ブ</t>
    </rPh>
    <rPh sb="15" eb="17">
      <t>カセン</t>
    </rPh>
    <rPh sb="17" eb="18">
      <t>カ</t>
    </rPh>
    <rPh sb="18" eb="19">
      <t>ヘン</t>
    </rPh>
    <rPh sb="20" eb="22">
      <t>サンショウ</t>
    </rPh>
    <phoneticPr fontId="2"/>
  </si>
  <si>
    <t>https://www.pref.aichi.jp/site/usui-taisaku/manual.html</t>
    <phoneticPr fontId="2"/>
  </si>
  <si>
    <t>「雨水浸透阻害行為許可等のための雨水貯留浸透施設設計・施工技術指針」（新川・境川（逢妻川）・猿渡川流域編）</t>
    <rPh sb="1" eb="3">
      <t>ウスイ</t>
    </rPh>
    <rPh sb="3" eb="5">
      <t>シントウ</t>
    </rPh>
    <rPh sb="5" eb="7">
      <t>ソガイ</t>
    </rPh>
    <rPh sb="7" eb="9">
      <t>コウイ</t>
    </rPh>
    <rPh sb="9" eb="11">
      <t>キョカ</t>
    </rPh>
    <rPh sb="11" eb="12">
      <t>トウ</t>
    </rPh>
    <rPh sb="16" eb="18">
      <t>ウスイ</t>
    </rPh>
    <rPh sb="18" eb="20">
      <t>チョリュウ</t>
    </rPh>
    <rPh sb="20" eb="22">
      <t>シントウ</t>
    </rPh>
    <rPh sb="22" eb="24">
      <t>シセツ</t>
    </rPh>
    <rPh sb="24" eb="26">
      <t>セッケイ</t>
    </rPh>
    <rPh sb="27" eb="29">
      <t>セコウ</t>
    </rPh>
    <rPh sb="29" eb="31">
      <t>ギジュツ</t>
    </rPh>
    <rPh sb="31" eb="33">
      <t>シシン</t>
    </rPh>
    <rPh sb="35" eb="37">
      <t>シンカワ</t>
    </rPh>
    <rPh sb="38" eb="40">
      <t>サカイガワ</t>
    </rPh>
    <rPh sb="41" eb="42">
      <t>アイ</t>
    </rPh>
    <rPh sb="42" eb="43">
      <t>ツマ</t>
    </rPh>
    <rPh sb="43" eb="44">
      <t>ガワ</t>
    </rPh>
    <rPh sb="46" eb="48">
      <t>サワタリ</t>
    </rPh>
    <rPh sb="48" eb="49">
      <t>ガワ</t>
    </rPh>
    <rPh sb="49" eb="51">
      <t>リュウイキ</t>
    </rPh>
    <rPh sb="51" eb="52">
      <t>ヘン</t>
    </rPh>
    <phoneticPr fontId="2"/>
  </si>
  <si>
    <t>H≦1.5m</t>
    <phoneticPr fontId="21"/>
  </si>
  <si>
    <t>W≦1.5m</t>
    <phoneticPr fontId="21"/>
  </si>
  <si>
    <t>条件</t>
    <phoneticPr fontId="2"/>
  </si>
  <si>
    <t>a</t>
    <phoneticPr fontId="2"/>
  </si>
  <si>
    <t>H</t>
    <phoneticPr fontId="2"/>
  </si>
  <si>
    <t>設計水頭</t>
    <phoneticPr fontId="21"/>
  </si>
  <si>
    <t>係数</t>
    <phoneticPr fontId="21"/>
  </si>
  <si>
    <t>影響係数</t>
    <phoneticPr fontId="21"/>
  </si>
  <si>
    <t>基準浸透量</t>
    <rPh sb="0" eb="2">
      <t>キジュン</t>
    </rPh>
    <rPh sb="2" eb="4">
      <t>シントウ</t>
    </rPh>
    <rPh sb="4" eb="5">
      <t>リョウ</t>
    </rPh>
    <phoneticPr fontId="2"/>
  </si>
  <si>
    <t>設置施設の比浸透量</t>
    <phoneticPr fontId="21"/>
  </si>
  <si>
    <t>単位設計浸透量</t>
    <phoneticPr fontId="21"/>
  </si>
  <si>
    <t>浸透対策量</t>
    <phoneticPr fontId="21"/>
  </si>
  <si>
    <t>貯留効果</t>
    <phoneticPr fontId="21"/>
  </si>
  <si>
    <t>W</t>
    <phoneticPr fontId="2"/>
  </si>
  <si>
    <t>施設幅</t>
    <phoneticPr fontId="21"/>
  </si>
  <si>
    <t>係数b</t>
    <phoneticPr fontId="21"/>
  </si>
  <si>
    <t>L</t>
    <phoneticPr fontId="2"/>
  </si>
  <si>
    <r>
      <t>※</t>
    </r>
    <r>
      <rPr>
        <b/>
        <sz val="9"/>
        <rFont val="ＭＳ Ｐゴシック"/>
        <family val="3"/>
        <charset val="128"/>
      </rPr>
      <t>別表３</t>
    </r>
    <r>
      <rPr>
        <sz val="9"/>
        <rFont val="ＭＳ Ｐゴシック"/>
        <family val="3"/>
        <charset val="128"/>
      </rPr>
      <t>へ入力し、平均を入力すること</t>
    </r>
    <rPh sb="1" eb="2">
      <t>ベツ</t>
    </rPh>
    <rPh sb="2" eb="3">
      <t>ヒョウ</t>
    </rPh>
    <rPh sb="5" eb="7">
      <t>ニュウリョク</t>
    </rPh>
    <rPh sb="9" eb="11">
      <t>ヘイキン</t>
    </rPh>
    <rPh sb="12" eb="14">
      <t>ニュウリョク</t>
    </rPh>
    <phoneticPr fontId="2"/>
  </si>
  <si>
    <t>道路排水施設の流下能力（通水量）　Q</t>
    <rPh sb="0" eb="2">
      <t>ドウロ</t>
    </rPh>
    <rPh sb="2" eb="4">
      <t>ハイスイ</t>
    </rPh>
    <rPh sb="4" eb="6">
      <t>シセツ</t>
    </rPh>
    <rPh sb="7" eb="9">
      <t>リュウカ</t>
    </rPh>
    <rPh sb="9" eb="11">
      <t>ノウリョク</t>
    </rPh>
    <rPh sb="12" eb="14">
      <t>ツウスイ</t>
    </rPh>
    <rPh sb="14" eb="15">
      <t>リョウ</t>
    </rPh>
    <phoneticPr fontId="2"/>
  </si>
  <si>
    <t>日平均汚水量(p×c)</t>
    <rPh sb="0" eb="1">
      <t>ニチ</t>
    </rPh>
    <rPh sb="1" eb="3">
      <t>ヘイキン</t>
    </rPh>
    <rPh sb="3" eb="5">
      <t>オスイ</t>
    </rPh>
    <rPh sb="5" eb="6">
      <t>リョウ</t>
    </rPh>
    <phoneticPr fontId="2"/>
  </si>
  <si>
    <t>流入量</t>
    <rPh sb="0" eb="1">
      <t>リュウ</t>
    </rPh>
    <rPh sb="1" eb="2">
      <t>ニュウ</t>
    </rPh>
    <rPh sb="2" eb="3">
      <t>リョウ</t>
    </rPh>
    <phoneticPr fontId="2"/>
  </si>
  <si>
    <t>流入量　（Q)</t>
    <rPh sb="0" eb="2">
      <t>リュウニュウ</t>
    </rPh>
    <rPh sb="2" eb="3">
      <t>リョウ</t>
    </rPh>
    <phoneticPr fontId="2"/>
  </si>
  <si>
    <t>流　　入　　量</t>
    <rPh sb="0" eb="1">
      <t>リュウ</t>
    </rPh>
    <rPh sb="3" eb="4">
      <t>ニュウ</t>
    </rPh>
    <rPh sb="6" eb="7">
      <t>リョウ</t>
    </rPh>
    <phoneticPr fontId="2"/>
  </si>
  <si>
    <r>
      <t xml:space="preserve">対策量T
</t>
    </r>
    <r>
      <rPr>
        <b/>
        <sz val="10"/>
        <rFont val="ＭＳ Ｐゴシック"/>
        <family val="3"/>
        <charset val="128"/>
      </rPr>
      <t>（道路排水施設への流入量－通水量）=</t>
    </r>
    <rPh sb="6" eb="8">
      <t>ドウロ</t>
    </rPh>
    <rPh sb="8" eb="10">
      <t>ハイスイ</t>
    </rPh>
    <rPh sb="10" eb="12">
      <t>シセツ</t>
    </rPh>
    <rPh sb="14" eb="17">
      <t>リュウニュウリョウ</t>
    </rPh>
    <rPh sb="18" eb="20">
      <t>ツウスイ</t>
    </rPh>
    <rPh sb="20" eb="21">
      <t>リョウ</t>
    </rPh>
    <phoneticPr fontId="2"/>
  </si>
  <si>
    <t>道路排水施設への流入量 - 通水量</t>
    <rPh sb="0" eb="2">
      <t>ドウロ</t>
    </rPh>
    <rPh sb="2" eb="4">
      <t>ハイスイ</t>
    </rPh>
    <rPh sb="4" eb="6">
      <t>シセツ</t>
    </rPh>
    <rPh sb="8" eb="10">
      <t>リュウニュウ</t>
    </rPh>
    <rPh sb="9" eb="10">
      <t>ニュウ</t>
    </rPh>
    <rPh sb="14" eb="15">
      <t>ツウ</t>
    </rPh>
    <rPh sb="15" eb="17">
      <t>スイリョウ</t>
    </rPh>
    <phoneticPr fontId="2"/>
  </si>
  <si>
    <t>土壌の飽和透水係数</t>
    <phoneticPr fontId="21"/>
  </si>
  <si>
    <t xml:space="preserve">k0 </t>
    <phoneticPr fontId="2"/>
  </si>
  <si>
    <t>m2</t>
    <phoneticPr fontId="2"/>
  </si>
  <si>
    <t>土壌の飽和透水係数k0 * 設置施設の比浸透量Kf * 3600 /100</t>
    <phoneticPr fontId="2"/>
  </si>
  <si>
    <t>m2/個</t>
    <rPh sb="3" eb="4">
      <t>コ</t>
    </rPh>
    <phoneticPr fontId="2"/>
  </si>
  <si>
    <t>a  (㎡)</t>
    <phoneticPr fontId="2"/>
  </si>
  <si>
    <t>I  mm/h</t>
    <phoneticPr fontId="2"/>
  </si>
  <si>
    <t>個</t>
    <rPh sb="0" eb="1">
      <t>コ</t>
    </rPh>
    <phoneticPr fontId="2"/>
  </si>
  <si>
    <r>
      <t>※</t>
    </r>
    <r>
      <rPr>
        <sz val="9"/>
        <color indexed="12"/>
        <rFont val="ＭＳ Ｐゴシック"/>
        <family val="3"/>
        <charset val="128"/>
      </rPr>
      <t>側溝:1</t>
    </r>
    <r>
      <rPr>
        <sz val="9"/>
        <rFont val="ＭＳ Ｐゴシック"/>
        <family val="3"/>
        <charset val="128"/>
      </rPr>
      <t>、</t>
    </r>
    <r>
      <rPr>
        <sz val="9"/>
        <color indexed="10"/>
        <rFont val="ＭＳ Ｐゴシック"/>
        <family val="3"/>
        <charset val="128"/>
      </rPr>
      <t>管渠:2</t>
    </r>
    <rPh sb="1" eb="3">
      <t>ソッコウ</t>
    </rPh>
    <rPh sb="6" eb="7">
      <t>カン</t>
    </rPh>
    <rPh sb="7" eb="8">
      <t>キョ</t>
    </rPh>
    <phoneticPr fontId="2"/>
  </si>
  <si>
    <t>判定で「（＋）流出抑制対策が必要である。」となった場合、流出抑制対策が必要となります。</t>
    <rPh sb="0" eb="2">
      <t>ハンテイ</t>
    </rPh>
    <rPh sb="7" eb="9">
      <t>リュウシュツ</t>
    </rPh>
    <rPh sb="9" eb="11">
      <t>ヨクセイ</t>
    </rPh>
    <rPh sb="11" eb="13">
      <t>タイサク</t>
    </rPh>
    <rPh sb="14" eb="16">
      <t>ヒツヨウ</t>
    </rPh>
    <rPh sb="25" eb="27">
      <t>バアイ</t>
    </rPh>
    <rPh sb="28" eb="30">
      <t>リュウシュツ</t>
    </rPh>
    <rPh sb="30" eb="32">
      <t>ヨクセイ</t>
    </rPh>
    <rPh sb="32" eb="34">
      <t>タイサク</t>
    </rPh>
    <rPh sb="35" eb="37">
      <t>ヒツヨウ</t>
    </rPh>
    <phoneticPr fontId="2"/>
  </si>
  <si>
    <t>n</t>
    <phoneticPr fontId="2"/>
  </si>
  <si>
    <r>
      <t>R</t>
    </r>
    <r>
      <rPr>
        <vertAlign val="superscript"/>
        <sz val="11"/>
        <rFont val="ＭＳ Ｐゴシック"/>
        <family val="3"/>
        <charset val="128"/>
      </rPr>
      <t xml:space="preserve"> 2/3</t>
    </r>
    <phoneticPr fontId="2"/>
  </si>
  <si>
    <t>　b：排水施設幅</t>
    <rPh sb="3" eb="5">
      <t>ハイスイ</t>
    </rPh>
    <rPh sb="5" eb="7">
      <t>シセツ</t>
    </rPh>
    <rPh sb="7" eb="8">
      <t>ハバ</t>
    </rPh>
    <phoneticPr fontId="2"/>
  </si>
  <si>
    <t>　h：排水施設高</t>
    <rPh sb="3" eb="5">
      <t>ハイスイ</t>
    </rPh>
    <rPh sb="5" eb="7">
      <t>シセツ</t>
    </rPh>
    <rPh sb="7" eb="8">
      <t>タカ</t>
    </rPh>
    <phoneticPr fontId="2"/>
  </si>
  <si>
    <t>　ｎ　：　粗度係数</t>
    <phoneticPr fontId="2"/>
  </si>
  <si>
    <t>　I  ：　水面勾配</t>
    <phoneticPr fontId="2"/>
  </si>
  <si>
    <t>　b：排水施設直径</t>
    <rPh sb="3" eb="5">
      <t>ハイスイ</t>
    </rPh>
    <rPh sb="5" eb="7">
      <t>シセツ</t>
    </rPh>
    <rPh sb="7" eb="9">
      <t>チョッケイ</t>
    </rPh>
    <phoneticPr fontId="2"/>
  </si>
  <si>
    <t>・</t>
    <phoneticPr fontId="2"/>
  </si>
  <si>
    <t>※標準0.005（現地浸透試験を行った場合は、その結果を入力）</t>
    <phoneticPr fontId="21"/>
  </si>
  <si>
    <t>※標準0.005（現地浸透試験を行った場合は、その結果を入力）</t>
    <phoneticPr fontId="2"/>
  </si>
  <si>
    <t>m3/hr</t>
  </si>
  <si>
    <t>建ぺい率60%：0.6を入力、建ぺい率80%：0.8を入力</t>
    <rPh sb="0" eb="1">
      <t>ケン</t>
    </rPh>
    <rPh sb="3" eb="4">
      <t>リツ</t>
    </rPh>
    <rPh sb="12" eb="14">
      <t>ニュウリョク</t>
    </rPh>
    <rPh sb="15" eb="16">
      <t>ケン</t>
    </rPh>
    <rPh sb="18" eb="19">
      <t>リツ</t>
    </rPh>
    <rPh sb="27" eb="29">
      <t>ニュウリョク</t>
    </rPh>
    <phoneticPr fontId="2"/>
  </si>
  <si>
    <t>側溝の場合に記入すること　（側溝内空幅を入力）</t>
    <rPh sb="0" eb="2">
      <t>ソッコウ</t>
    </rPh>
    <rPh sb="3" eb="5">
      <t>バアイ</t>
    </rPh>
    <rPh sb="6" eb="8">
      <t>キニュウ</t>
    </rPh>
    <rPh sb="14" eb="16">
      <t>ソッコウ</t>
    </rPh>
    <rPh sb="16" eb="18">
      <t>ナイクウ</t>
    </rPh>
    <rPh sb="18" eb="19">
      <t>ハバ</t>
    </rPh>
    <rPh sb="20" eb="22">
      <t>ニュウリョク</t>
    </rPh>
    <phoneticPr fontId="2"/>
  </si>
  <si>
    <t>管渠の場合に記入すること　（管渠内空直径を入力）</t>
    <rPh sb="0" eb="2">
      <t>カンキョ</t>
    </rPh>
    <rPh sb="3" eb="5">
      <t>バアイ</t>
    </rPh>
    <rPh sb="6" eb="8">
      <t>キニュウ</t>
    </rPh>
    <rPh sb="14" eb="16">
      <t>カンキョ</t>
    </rPh>
    <rPh sb="16" eb="18">
      <t>ナイクウ</t>
    </rPh>
    <rPh sb="18" eb="20">
      <t>チョッケイ</t>
    </rPh>
    <rPh sb="21" eb="23">
      <t>ニュウリョク</t>
    </rPh>
    <phoneticPr fontId="2"/>
  </si>
  <si>
    <t>　　　〃　　（側溝蓋の厚さは含まないこと）</t>
    <rPh sb="7" eb="9">
      <t>ソッコウ</t>
    </rPh>
    <rPh sb="9" eb="10">
      <t>フタ</t>
    </rPh>
    <rPh sb="11" eb="12">
      <t>アツ</t>
    </rPh>
    <rPh sb="14" eb="15">
      <t>フク</t>
    </rPh>
    <phoneticPr fontId="2"/>
  </si>
  <si>
    <t>（市街化区域）</t>
    <rPh sb="1" eb="4">
      <t>シガイカ</t>
    </rPh>
    <rPh sb="4" eb="6">
      <t>クイキ</t>
    </rPh>
    <phoneticPr fontId="2"/>
  </si>
  <si>
    <t>（調整区域）</t>
    <rPh sb="1" eb="3">
      <t>チョウセイ</t>
    </rPh>
    <rPh sb="3" eb="5">
      <t>クイキ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</si>
</sst>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76" formatCode="0.0"/>
    <numFmt numFmtId="177" formatCode="0.000"/>
    <numFmt numFmtId="178" formatCode="0.00000_ "/>
    <numFmt numFmtId="179" formatCode="0.00_ "/>
    <numFmt numFmtId="180" formatCode="0.000_ "/>
    <numFmt numFmtId="181" formatCode="0.0_ "/>
    <numFmt numFmtId="182" formatCode="0.00_);[Red]\(0.00\)"/>
    <numFmt numFmtId="183" formatCode="0.00;_䀀"/>
    <numFmt numFmtId="184" formatCode="0.00;_㠀"/>
    <numFmt numFmtId="185" formatCode="0.00;_ꐀ"/>
    <numFmt numFmtId="186" formatCode="0_ "/>
    <numFmt numFmtId="187" formatCode="0.000_);[Red]\(0.000\)"/>
    <numFmt numFmtId="188" formatCode="#,##0.000;[Red]\-#,##0.000"/>
    <numFmt numFmtId="189" formatCode="#,##0.0;[Red]\-#,##0.0"/>
    <numFmt numFmtId="190" formatCode="#,##0.00000;[Red]\-#,##0.00000"/>
    <numFmt numFmtId="191" formatCode="#,##0.0_ ;[Red]\-#,##0.0\ "/>
    <numFmt numFmtId="192" formatCode="#,##0.00000_ ;[Red]\-#,##0.00000\ "/>
    <numFmt numFmtId="193" formatCode="#,##0.00_ "/>
    <numFmt numFmtId="194" formatCode="#,##0_ "/>
    <numFmt numFmtId="195" formatCode="#,##0.0_ "/>
    <numFmt numFmtId="196" formatCode="#,##0_);[Red]\(#,##0\)"/>
    <numFmt numFmtId="197" formatCode="#,##0.0_);[Red]\(#,##0.0\)"/>
    <numFmt numFmtId="198" formatCode="#,##0.00000_ "/>
    <numFmt numFmtId="199" formatCode="#,##0.00000_);[Red]\(#,##0.00000\)"/>
    <numFmt numFmtId="200" formatCode="#,##0.00_);[Red]\(#,##0.00\)"/>
    <numFmt numFmtId="201" formatCode="#,##0.000_ "/>
    <numFmt numFmtId="202" formatCode="#,##0.00_ ;[Red]\-#,##0.00\ "/>
    <numFmt numFmtId="203" formatCode="#,##0.000_ ;[Red]\-#,##0.000\ "/>
    <numFmt numFmtId="204" formatCode="#,##0.000_);[Red]\(#,##0.000\)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indexed="36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0000CC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0000CC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lightDown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</fills>
  <borders count="1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slantDashDot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slantDashDot">
        <color indexed="64"/>
      </left>
      <right style="thin">
        <color indexed="64"/>
      </right>
      <top style="dashed">
        <color indexed="64"/>
      </top>
      <bottom/>
      <diagonal/>
    </border>
    <border>
      <left style="slantDashDot">
        <color indexed="64"/>
      </left>
      <right style="thin">
        <color indexed="64"/>
      </right>
      <top/>
      <bottom/>
      <diagonal/>
    </border>
    <border>
      <left style="slantDashDot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thin">
        <color indexed="64"/>
      </top>
      <bottom style="slantDashDot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698">
    <xf numFmtId="0" fontId="0" fillId="0" borderId="0" xfId="0"/>
    <xf numFmtId="0" fontId="0" fillId="0" borderId="1" xfId="0" applyBorder="1" applyAlignment="1">
      <alignment horizontal="right" vertical="center" textRotation="90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 textRotation="90"/>
    </xf>
    <xf numFmtId="0" fontId="0" fillId="0" borderId="0" xfId="0" applyBorder="1" applyAlignment="1">
      <alignment horizontal="center" vertical="center" textRotation="90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 textRotation="255"/>
    </xf>
    <xf numFmtId="0" fontId="0" fillId="0" borderId="0" xfId="0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188" fontId="11" fillId="0" borderId="3" xfId="2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shrinkToFit="1"/>
    </xf>
    <xf numFmtId="0" fontId="6" fillId="0" borderId="4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3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ill="1" applyBorder="1" applyAlignment="1">
      <alignment horizontal="center" vertical="center" textRotation="90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textRotation="255"/>
    </xf>
    <xf numFmtId="0" fontId="0" fillId="0" borderId="0" xfId="0" applyFill="1" applyBorder="1" applyAlignment="1">
      <alignment vertical="center" textRotation="90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177" fontId="0" fillId="0" borderId="0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11" fillId="0" borderId="25" xfId="0" applyFont="1" applyBorder="1" applyAlignment="1">
      <alignment vertical="center"/>
    </xf>
    <xf numFmtId="180" fontId="11" fillId="0" borderId="26" xfId="0" applyNumberFormat="1" applyFon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0" fontId="11" fillId="0" borderId="27" xfId="0" applyFont="1" applyBorder="1" applyAlignment="1">
      <alignment vertical="center"/>
    </xf>
    <xf numFmtId="180" fontId="11" fillId="0" borderId="28" xfId="0" applyNumberFormat="1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1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179" fontId="0" fillId="0" borderId="0" xfId="0" applyNumberFormat="1" applyFill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179" fontId="0" fillId="0" borderId="3" xfId="0" applyNumberFormat="1" applyFill="1" applyBorder="1" applyAlignment="1">
      <alignment vertical="center"/>
    </xf>
    <xf numFmtId="179" fontId="0" fillId="0" borderId="31" xfId="0" applyNumberForma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32" xfId="0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4" xfId="0" applyBorder="1" applyAlignment="1">
      <alignment vertical="center"/>
    </xf>
    <xf numFmtId="0" fontId="6" fillId="0" borderId="35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7" fontId="0" fillId="0" borderId="0" xfId="0" applyNumberForma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5" borderId="3" xfId="0" applyFont="1" applyFill="1" applyBorder="1" applyAlignment="1">
      <alignment horizontal="center" vertical="center"/>
    </xf>
    <xf numFmtId="184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6" borderId="38" xfId="0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0" borderId="0" xfId="0" quotePrefix="1" applyFont="1" applyFill="1" applyAlignment="1">
      <alignment horizontal="center" vertical="center"/>
    </xf>
    <xf numFmtId="188" fontId="0" fillId="0" borderId="0" xfId="2" applyNumberFormat="1" applyFont="1" applyFill="1" applyAlignment="1">
      <alignment vertical="center"/>
    </xf>
    <xf numFmtId="0" fontId="0" fillId="0" borderId="13" xfId="0" applyFont="1" applyFill="1" applyBorder="1" applyAlignment="1">
      <alignment vertical="center"/>
    </xf>
    <xf numFmtId="188" fontId="0" fillId="0" borderId="0" xfId="2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39" xfId="0" applyFont="1" applyFill="1" applyBorder="1" applyAlignment="1">
      <alignment vertical="center"/>
    </xf>
    <xf numFmtId="0" fontId="3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shrinkToFit="1"/>
    </xf>
    <xf numFmtId="195" fontId="0" fillId="6" borderId="38" xfId="0" applyNumberFormat="1" applyFont="1" applyFill="1" applyBorder="1" applyAlignment="1">
      <alignment vertical="center" shrinkToFit="1"/>
    </xf>
    <xf numFmtId="193" fontId="0" fillId="6" borderId="38" xfId="0" applyNumberFormat="1" applyFont="1" applyFill="1" applyBorder="1" applyAlignment="1">
      <alignment vertical="center" shrinkToFit="1"/>
    </xf>
    <xf numFmtId="2" fontId="0" fillId="5" borderId="3" xfId="0" applyNumberFormat="1" applyFill="1" applyBorder="1" applyAlignment="1">
      <alignment vertical="center"/>
    </xf>
    <xf numFmtId="0" fontId="11" fillId="0" borderId="31" xfId="0" applyFont="1" applyBorder="1" applyAlignment="1">
      <alignment horizontal="center" vertical="center"/>
    </xf>
    <xf numFmtId="2" fontId="0" fillId="5" borderId="40" xfId="0" applyNumberFormat="1" applyFill="1" applyBorder="1" applyAlignment="1">
      <alignment vertical="center"/>
    </xf>
    <xf numFmtId="2" fontId="0" fillId="5" borderId="41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33" fillId="0" borderId="0" xfId="0" applyFont="1" applyAlignment="1">
      <alignment vertical="center"/>
    </xf>
    <xf numFmtId="0" fontId="0" fillId="6" borderId="38" xfId="0" applyFont="1" applyFill="1" applyBorder="1" applyAlignment="1">
      <alignment horizontal="left" vertical="center"/>
    </xf>
    <xf numFmtId="0" fontId="32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0" fillId="0" borderId="39" xfId="0" applyFont="1" applyFill="1" applyBorder="1" applyAlignment="1">
      <alignment horizontal="left" vertical="center"/>
    </xf>
    <xf numFmtId="0" fontId="0" fillId="0" borderId="42" xfId="0" applyFont="1" applyFill="1" applyBorder="1" applyAlignment="1">
      <alignment horizontal="left" vertical="center"/>
    </xf>
    <xf numFmtId="177" fontId="0" fillId="0" borderId="0" xfId="0" applyNumberFormat="1" applyFont="1" applyAlignment="1">
      <alignment horizontal="left" vertical="center"/>
    </xf>
    <xf numFmtId="0" fontId="34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43" xfId="0" applyBorder="1" applyAlignment="1">
      <alignment horizontal="center" vertical="center" shrinkToFit="1"/>
    </xf>
    <xf numFmtId="194" fontId="10" fillId="5" borderId="3" xfId="0" applyNumberFormat="1" applyFont="1" applyFill="1" applyBorder="1" applyAlignment="1">
      <alignment horizontal="center" vertical="center" shrinkToFit="1"/>
    </xf>
    <xf numFmtId="181" fontId="10" fillId="5" borderId="3" xfId="0" applyNumberFormat="1" applyFont="1" applyFill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176" fontId="0" fillId="0" borderId="0" xfId="0" applyNumberFormat="1" applyFill="1" applyBorder="1" applyAlignment="1">
      <alignment vertical="center"/>
    </xf>
    <xf numFmtId="179" fontId="0" fillId="5" borderId="3" xfId="0" applyNumberFormat="1" applyFill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25" fillId="0" borderId="0" xfId="0" applyFont="1" applyFill="1" applyAlignment="1">
      <alignment horizontal="right" vertical="center" shrinkToFi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190" fontId="11" fillId="2" borderId="0" xfId="2" applyNumberFormat="1" applyFont="1" applyFill="1" applyBorder="1" applyAlignment="1">
      <alignment horizontal="right" vertical="center"/>
    </xf>
    <xf numFmtId="0" fontId="11" fillId="0" borderId="44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 shrinkToFit="1"/>
    </xf>
    <xf numFmtId="0" fontId="25" fillId="0" borderId="0" xfId="0" applyFont="1" applyFill="1" applyBorder="1" applyAlignment="1">
      <alignment horizontal="right"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45" xfId="0" applyFont="1" applyBorder="1" applyAlignment="1">
      <alignment vertical="center"/>
    </xf>
    <xf numFmtId="0" fontId="11" fillId="0" borderId="45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11" fillId="0" borderId="46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4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40" fontId="11" fillId="0" borderId="0" xfId="2" applyNumberFormat="1" applyFont="1" applyFill="1" applyBorder="1" applyAlignment="1">
      <alignment vertical="center"/>
    </xf>
    <xf numFmtId="189" fontId="11" fillId="0" borderId="0" xfId="2" applyNumberFormat="1" applyFont="1" applyFill="1" applyBorder="1" applyAlignment="1">
      <alignment vertical="center"/>
    </xf>
    <xf numFmtId="188" fontId="11" fillId="0" borderId="0" xfId="2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0" fillId="0" borderId="0" xfId="0" applyFont="1" applyBorder="1"/>
    <xf numFmtId="190" fontId="11" fillId="0" borderId="0" xfId="2" applyNumberFormat="1" applyFont="1" applyFill="1" applyBorder="1" applyAlignment="1">
      <alignment horizontal="center" vertical="center"/>
    </xf>
    <xf numFmtId="201" fontId="0" fillId="7" borderId="0" xfId="0" applyNumberFormat="1" applyFont="1" applyFill="1" applyAlignment="1">
      <alignment vertical="center" shrinkToFit="1"/>
    </xf>
    <xf numFmtId="0" fontId="12" fillId="0" borderId="18" xfId="1" applyBorder="1" applyAlignment="1" applyProtection="1">
      <alignment vertical="center"/>
    </xf>
    <xf numFmtId="0" fontId="0" fillId="8" borderId="0" xfId="0" applyFont="1" applyFill="1" applyAlignment="1">
      <alignment vertical="center"/>
    </xf>
    <xf numFmtId="193" fontId="0" fillId="6" borderId="48" xfId="0" applyNumberFormat="1" applyFont="1" applyFill="1" applyBorder="1" applyAlignment="1">
      <alignment vertical="center" shrinkToFit="1"/>
    </xf>
    <xf numFmtId="179" fontId="0" fillId="6" borderId="38" xfId="0" applyNumberFormat="1" applyFont="1" applyFill="1" applyBorder="1" applyAlignment="1">
      <alignment vertical="center" shrinkToFit="1"/>
    </xf>
    <xf numFmtId="194" fontId="0" fillId="6" borderId="38" xfId="0" applyNumberFormat="1" applyFont="1" applyFill="1" applyBorder="1" applyAlignment="1">
      <alignment vertical="center" shrinkToFit="1"/>
    </xf>
    <xf numFmtId="0" fontId="0" fillId="0" borderId="0" xfId="0" applyFont="1" applyFill="1" applyAlignment="1">
      <alignment horizontal="right" vertical="center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13" fillId="5" borderId="52" xfId="0" applyFont="1" applyFill="1" applyBorder="1" applyAlignment="1">
      <alignment horizontal="center" vertical="center"/>
    </xf>
    <xf numFmtId="0" fontId="13" fillId="8" borderId="38" xfId="0" applyFont="1" applyFill="1" applyBorder="1" applyAlignment="1">
      <alignment horizontal="center" vertical="center"/>
    </xf>
    <xf numFmtId="0" fontId="0" fillId="7" borderId="53" xfId="0" applyFill="1" applyBorder="1" applyAlignment="1">
      <alignment vertical="center"/>
    </xf>
    <xf numFmtId="0" fontId="0" fillId="9" borderId="38" xfId="0" applyFill="1" applyBorder="1" applyAlignment="1">
      <alignment vertical="center"/>
    </xf>
    <xf numFmtId="179" fontId="0" fillId="7" borderId="47" xfId="0" applyNumberFormat="1" applyFill="1" applyBorder="1" applyAlignment="1">
      <alignment vertical="center" shrinkToFit="1"/>
    </xf>
    <xf numFmtId="0" fontId="1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4" fillId="3" borderId="31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1" fillId="0" borderId="31" xfId="0" applyFont="1" applyBorder="1" applyAlignment="1">
      <alignment vertical="center"/>
    </xf>
    <xf numFmtId="0" fontId="16" fillId="0" borderId="31" xfId="0" applyFont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7" fillId="7" borderId="46" xfId="0" applyFont="1" applyFill="1" applyBorder="1" applyAlignment="1">
      <alignment horizontal="center" vertical="center" shrinkToFit="1"/>
    </xf>
    <xf numFmtId="179" fontId="0" fillId="3" borderId="38" xfId="0" applyNumberFormat="1" applyFill="1" applyBorder="1" applyAlignment="1">
      <alignment vertical="center"/>
    </xf>
    <xf numFmtId="0" fontId="0" fillId="0" borderId="50" xfId="0" applyBorder="1" applyAlignment="1">
      <alignment horizontal="center" vertical="center"/>
    </xf>
    <xf numFmtId="0" fontId="0" fillId="0" borderId="49" xfId="0" applyBorder="1" applyAlignment="1">
      <alignment vertical="center" shrinkToFit="1"/>
    </xf>
    <xf numFmtId="193" fontId="0" fillId="7" borderId="52" xfId="0" applyNumberFormat="1" applyFill="1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193" fontId="0" fillId="5" borderId="53" xfId="0" applyNumberFormat="1" applyFill="1" applyBorder="1" applyAlignment="1">
      <alignment vertical="center" shrinkToFit="1"/>
    </xf>
    <xf numFmtId="179" fontId="0" fillId="0" borderId="53" xfId="0" applyNumberFormat="1" applyFill="1" applyBorder="1" applyAlignment="1">
      <alignment vertical="center"/>
    </xf>
    <xf numFmtId="0" fontId="14" fillId="8" borderId="3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vertical="center" wrapText="1"/>
    </xf>
    <xf numFmtId="186" fontId="0" fillId="3" borderId="38" xfId="0" applyNumberFormat="1" applyFill="1" applyBorder="1" applyAlignment="1">
      <alignment vertical="center"/>
    </xf>
    <xf numFmtId="181" fontId="0" fillId="7" borderId="52" xfId="0" applyNumberFormat="1" applyFill="1" applyBorder="1" applyAlignment="1">
      <alignment vertical="center"/>
    </xf>
    <xf numFmtId="186" fontId="0" fillId="6" borderId="38" xfId="0" applyNumberFormat="1" applyFill="1" applyBorder="1" applyAlignment="1">
      <alignment vertical="center"/>
    </xf>
    <xf numFmtId="0" fontId="14" fillId="3" borderId="40" xfId="0" applyFont="1" applyFill="1" applyBorder="1" applyAlignment="1">
      <alignment horizontal="center" vertical="center"/>
    </xf>
    <xf numFmtId="0" fontId="14" fillId="3" borderId="41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35" fillId="0" borderId="55" xfId="0" applyFont="1" applyFill="1" applyBorder="1" applyAlignment="1">
      <alignment vertical="center"/>
    </xf>
    <xf numFmtId="0" fontId="35" fillId="0" borderId="56" xfId="0" applyFont="1" applyFill="1" applyBorder="1" applyAlignment="1">
      <alignment vertical="center"/>
    </xf>
    <xf numFmtId="0" fontId="32" fillId="0" borderId="57" xfId="0" applyFont="1" applyBorder="1" applyAlignment="1">
      <alignment vertical="center"/>
    </xf>
    <xf numFmtId="0" fontId="0" fillId="0" borderId="58" xfId="0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94" fontId="11" fillId="0" borderId="3" xfId="0" applyNumberFormat="1" applyFont="1" applyBorder="1" applyAlignment="1">
      <alignment vertical="center"/>
    </xf>
    <xf numFmtId="0" fontId="16" fillId="0" borderId="50" xfId="0" applyFont="1" applyBorder="1" applyAlignment="1">
      <alignment vertical="center" shrinkToFit="1"/>
    </xf>
    <xf numFmtId="179" fontId="11" fillId="7" borderId="49" xfId="0" applyNumberFormat="1" applyFont="1" applyFill="1" applyBorder="1" applyAlignment="1">
      <alignment horizontal="center" vertical="center"/>
    </xf>
    <xf numFmtId="194" fontId="11" fillId="7" borderId="3" xfId="0" applyNumberFormat="1" applyFont="1" applyFill="1" applyBorder="1" applyAlignment="1">
      <alignment vertical="center" shrinkToFit="1"/>
    </xf>
    <xf numFmtId="183" fontId="11" fillId="0" borderId="49" xfId="0" applyNumberFormat="1" applyFont="1" applyBorder="1" applyAlignment="1">
      <alignment horizontal="center" vertical="center"/>
    </xf>
    <xf numFmtId="194" fontId="11" fillId="0" borderId="50" xfId="0" applyNumberFormat="1" applyFont="1" applyBorder="1" applyAlignment="1">
      <alignment vertical="center"/>
    </xf>
    <xf numFmtId="194" fontId="11" fillId="0" borderId="53" xfId="0" applyNumberFormat="1" applyFont="1" applyFill="1" applyBorder="1" applyAlignment="1">
      <alignment vertical="center"/>
    </xf>
    <xf numFmtId="194" fontId="11" fillId="9" borderId="59" xfId="0" applyNumberFormat="1" applyFont="1" applyFill="1" applyBorder="1" applyAlignment="1">
      <alignment vertical="center"/>
    </xf>
    <xf numFmtId="194" fontId="11" fillId="9" borderId="60" xfId="0" applyNumberFormat="1" applyFont="1" applyFill="1" applyBorder="1" applyAlignment="1">
      <alignment vertical="center"/>
    </xf>
    <xf numFmtId="194" fontId="11" fillId="9" borderId="61" xfId="0" applyNumberFormat="1" applyFont="1" applyFill="1" applyBorder="1" applyAlignment="1">
      <alignment vertical="center"/>
    </xf>
    <xf numFmtId="193" fontId="0" fillId="9" borderId="59" xfId="0" applyNumberFormat="1" applyFill="1" applyBorder="1" applyAlignment="1">
      <alignment vertical="center" shrinkToFit="1"/>
    </xf>
    <xf numFmtId="193" fontId="0" fillId="9" borderId="61" xfId="0" applyNumberFormat="1" applyFill="1" applyBorder="1" applyAlignment="1">
      <alignment vertical="center" shrinkToFit="1"/>
    </xf>
    <xf numFmtId="179" fontId="0" fillId="8" borderId="59" xfId="0" applyNumberFormat="1" applyFill="1" applyBorder="1" applyAlignment="1">
      <alignment vertical="center"/>
    </xf>
    <xf numFmtId="179" fontId="0" fillId="9" borderId="61" xfId="0" applyNumberFormat="1" applyFont="1" applyFill="1" applyBorder="1" applyAlignment="1">
      <alignment vertical="center"/>
    </xf>
    <xf numFmtId="179" fontId="35" fillId="6" borderId="59" xfId="0" applyNumberFormat="1" applyFont="1" applyFill="1" applyBorder="1" applyAlignment="1">
      <alignment vertical="center"/>
    </xf>
    <xf numFmtId="179" fontId="35" fillId="6" borderId="62" xfId="0" applyNumberFormat="1" applyFont="1" applyFill="1" applyBorder="1" applyAlignment="1">
      <alignment vertical="center"/>
    </xf>
    <xf numFmtId="179" fontId="32" fillId="3" borderId="63" xfId="0" applyNumberFormat="1" applyFont="1" applyFill="1" applyBorder="1" applyAlignment="1">
      <alignment vertical="center"/>
    </xf>
    <xf numFmtId="0" fontId="11" fillId="0" borderId="41" xfId="0" applyFont="1" applyBorder="1" applyAlignment="1">
      <alignment horizontal="center" vertical="center"/>
    </xf>
    <xf numFmtId="181" fontId="16" fillId="0" borderId="40" xfId="0" applyNumberFormat="1" applyFont="1" applyFill="1" applyBorder="1" applyAlignment="1">
      <alignment vertical="center" shrinkToFit="1"/>
    </xf>
    <xf numFmtId="0" fontId="0" fillId="0" borderId="64" xfId="0" applyBorder="1" applyAlignment="1">
      <alignment horizontal="center" vertical="center"/>
    </xf>
    <xf numFmtId="179" fontId="0" fillId="7" borderId="53" xfId="0" applyNumberFormat="1" applyFill="1" applyBorder="1" applyAlignment="1">
      <alignment vertical="center" shrinkToFit="1"/>
    </xf>
    <xf numFmtId="0" fontId="11" fillId="0" borderId="65" xfId="0" applyFont="1" applyBorder="1" applyAlignment="1">
      <alignment horizontal="center" vertical="center"/>
    </xf>
    <xf numFmtId="179" fontId="11" fillId="0" borderId="3" xfId="0" applyNumberFormat="1" applyFont="1" applyFill="1" applyBorder="1" applyAlignment="1">
      <alignment horizontal="right" vertical="center" shrinkToFit="1"/>
    </xf>
    <xf numFmtId="179" fontId="0" fillId="7" borderId="53" xfId="0" applyNumberFormat="1" applyFill="1" applyBorder="1" applyAlignment="1">
      <alignment vertical="center"/>
    </xf>
    <xf numFmtId="179" fontId="0" fillId="7" borderId="66" xfId="0" applyNumberFormat="1" applyFill="1" applyBorder="1" applyAlignment="1">
      <alignment vertical="center" shrinkToFit="1"/>
    </xf>
    <xf numFmtId="0" fontId="11" fillId="0" borderId="49" xfId="0" applyFont="1" applyFill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179" fontId="0" fillId="7" borderId="19" xfId="0" applyNumberFormat="1" applyFill="1" applyBorder="1" applyAlignment="1">
      <alignment vertical="center" shrinkToFit="1"/>
    </xf>
    <xf numFmtId="187" fontId="0" fillId="3" borderId="67" xfId="0" applyNumberFormat="1" applyFill="1" applyBorder="1" applyAlignment="1">
      <alignment vertical="center" shrinkToFit="1"/>
    </xf>
    <xf numFmtId="187" fontId="0" fillId="3" borderId="68" xfId="0" applyNumberFormat="1" applyFill="1" applyBorder="1" applyAlignment="1">
      <alignment vertical="center" shrinkToFit="1"/>
    </xf>
    <xf numFmtId="187" fontId="0" fillId="3" borderId="69" xfId="0" applyNumberFormat="1" applyFill="1" applyBorder="1" applyAlignment="1">
      <alignment vertical="center" shrinkToFit="1"/>
    </xf>
    <xf numFmtId="187" fontId="0" fillId="3" borderId="70" xfId="0" applyNumberFormat="1" applyFill="1" applyBorder="1" applyAlignment="1">
      <alignment vertical="center" shrinkToFit="1"/>
    </xf>
    <xf numFmtId="187" fontId="0" fillId="3" borderId="71" xfId="0" applyNumberFormat="1" applyFill="1" applyBorder="1" applyAlignment="1">
      <alignment vertical="center" shrinkToFit="1"/>
    </xf>
    <xf numFmtId="187" fontId="0" fillId="3" borderId="72" xfId="0" applyNumberFormat="1" applyFill="1" applyBorder="1" applyAlignment="1">
      <alignment vertical="center" shrinkToFit="1"/>
    </xf>
    <xf numFmtId="187" fontId="0" fillId="3" borderId="73" xfId="0" applyNumberFormat="1" applyFill="1" applyBorder="1" applyAlignment="1">
      <alignment vertical="center" shrinkToFit="1"/>
    </xf>
    <xf numFmtId="187" fontId="0" fillId="3" borderId="74" xfId="0" applyNumberFormat="1" applyFill="1" applyBorder="1" applyAlignment="1">
      <alignment vertical="center" shrinkToFit="1"/>
    </xf>
    <xf numFmtId="179" fontId="0" fillId="7" borderId="18" xfId="0" applyNumberFormat="1" applyFill="1" applyBorder="1" applyAlignment="1">
      <alignment vertical="center" shrinkToFit="1"/>
    </xf>
    <xf numFmtId="179" fontId="0" fillId="7" borderId="27" xfId="0" applyNumberFormat="1" applyFill="1" applyBorder="1" applyAlignment="1">
      <alignment vertical="center" shrinkToFit="1"/>
    </xf>
    <xf numFmtId="181" fontId="0" fillId="7" borderId="19" xfId="0" applyNumberFormat="1" applyFill="1" applyBorder="1" applyAlignment="1">
      <alignment vertical="center" shrinkToFit="1"/>
    </xf>
    <xf numFmtId="181" fontId="0" fillId="7" borderId="50" xfId="0" applyNumberFormat="1" applyFill="1" applyBorder="1" applyAlignment="1">
      <alignment vertical="center" shrinkToFit="1"/>
    </xf>
    <xf numFmtId="179" fontId="0" fillId="3" borderId="59" xfId="0" applyNumberFormat="1" applyFill="1" applyBorder="1" applyAlignment="1">
      <alignment vertical="center" shrinkToFit="1"/>
    </xf>
    <xf numFmtId="179" fontId="0" fillId="3" borderId="60" xfId="0" applyNumberFormat="1" applyFill="1" applyBorder="1" applyAlignment="1">
      <alignment vertical="center" shrinkToFit="1"/>
    </xf>
    <xf numFmtId="179" fontId="0" fillId="3" borderId="61" xfId="0" applyNumberFormat="1" applyFill="1" applyBorder="1" applyAlignment="1">
      <alignment vertical="center" shrinkToFit="1"/>
    </xf>
    <xf numFmtId="0" fontId="6" fillId="0" borderId="37" xfId="0" applyFont="1" applyBorder="1" applyAlignment="1">
      <alignment vertical="center"/>
    </xf>
    <xf numFmtId="0" fontId="6" fillId="0" borderId="75" xfId="0" applyFont="1" applyBorder="1" applyAlignment="1">
      <alignment vertical="center"/>
    </xf>
    <xf numFmtId="0" fontId="0" fillId="0" borderId="75" xfId="0" applyBorder="1" applyAlignment="1">
      <alignment vertical="center"/>
    </xf>
    <xf numFmtId="0" fontId="0" fillId="4" borderId="40" xfId="0" applyFill="1" applyBorder="1" applyAlignment="1">
      <alignment vertical="center"/>
    </xf>
    <xf numFmtId="201" fontId="0" fillId="7" borderId="3" xfId="0" applyNumberFormat="1" applyFont="1" applyFill="1" applyBorder="1" applyAlignment="1">
      <alignment vertical="center" shrinkToFit="1"/>
    </xf>
    <xf numFmtId="0" fontId="28" fillId="0" borderId="0" xfId="0" applyFont="1" applyAlignment="1">
      <alignment vertical="center"/>
    </xf>
    <xf numFmtId="0" fontId="36" fillId="0" borderId="54" xfId="0" applyFont="1" applyBorder="1" applyAlignment="1">
      <alignment vertical="center"/>
    </xf>
    <xf numFmtId="0" fontId="37" fillId="0" borderId="40" xfId="0" applyFont="1" applyBorder="1" applyAlignment="1">
      <alignment vertical="center"/>
    </xf>
    <xf numFmtId="0" fontId="37" fillId="0" borderId="41" xfId="0" applyFont="1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201" fontId="0" fillId="0" borderId="0" xfId="0" applyNumberFormat="1" applyFont="1" applyAlignment="1">
      <alignment horizontal="left" vertical="center"/>
    </xf>
    <xf numFmtId="204" fontId="0" fillId="7" borderId="0" xfId="0" applyNumberFormat="1" applyFont="1" applyFill="1" applyAlignment="1">
      <alignment vertical="center" shrinkToFit="1"/>
    </xf>
    <xf numFmtId="204" fontId="0" fillId="0" borderId="0" xfId="0" applyNumberFormat="1" applyFont="1" applyAlignment="1">
      <alignment vertical="center" shrinkToFit="1"/>
    </xf>
    <xf numFmtId="200" fontId="0" fillId="7" borderId="0" xfId="0" applyNumberFormat="1" applyFont="1" applyFill="1" applyAlignment="1">
      <alignment vertical="center" shrinkToFit="1"/>
    </xf>
    <xf numFmtId="200" fontId="0" fillId="6" borderId="38" xfId="0" applyNumberFormat="1" applyFont="1" applyFill="1" applyBorder="1" applyAlignment="1">
      <alignment vertical="center" shrinkToFit="1"/>
    </xf>
    <xf numFmtId="204" fontId="0" fillId="7" borderId="3" xfId="0" applyNumberFormat="1" applyFont="1" applyFill="1" applyBorder="1" applyAlignment="1">
      <alignment vertical="center" shrinkToFit="1"/>
    </xf>
    <xf numFmtId="204" fontId="0" fillId="7" borderId="0" xfId="0" applyNumberFormat="1" applyFont="1" applyFill="1" applyAlignment="1">
      <alignment horizontal="right" vertical="center" shrinkToFit="1"/>
    </xf>
    <xf numFmtId="201" fontId="0" fillId="7" borderId="0" xfId="0" applyNumberFormat="1" applyFont="1" applyFill="1" applyAlignment="1">
      <alignment horizontal="right" vertical="center" shrinkToFit="1"/>
    </xf>
    <xf numFmtId="201" fontId="0" fillId="0" borderId="0" xfId="0" applyNumberFormat="1" applyFont="1" applyAlignment="1">
      <alignment vertical="center" shrinkToFit="1"/>
    </xf>
    <xf numFmtId="193" fontId="0" fillId="7" borderId="0" xfId="0" applyNumberFormat="1" applyFont="1" applyFill="1" applyAlignment="1">
      <alignment vertical="center" shrinkToFit="1"/>
    </xf>
    <xf numFmtId="195" fontId="0" fillId="7" borderId="3" xfId="0" applyNumberFormat="1" applyFont="1" applyFill="1" applyBorder="1" applyAlignment="1">
      <alignment vertical="center" shrinkToFit="1"/>
    </xf>
    <xf numFmtId="0" fontId="38" fillId="0" borderId="0" xfId="0" applyFont="1" applyAlignment="1">
      <alignment vertical="center"/>
    </xf>
    <xf numFmtId="0" fontId="0" fillId="0" borderId="31" xfId="0" applyBorder="1" applyAlignment="1">
      <alignment horizontal="left" vertical="center" shrinkToFit="1"/>
    </xf>
    <xf numFmtId="0" fontId="0" fillId="0" borderId="53" xfId="0" applyBorder="1" applyAlignment="1">
      <alignment horizontal="left" vertical="center" shrinkToFit="1"/>
    </xf>
    <xf numFmtId="0" fontId="14" fillId="9" borderId="3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79" fontId="0" fillId="5" borderId="31" xfId="0" applyNumberFormat="1" applyFill="1" applyBorder="1" applyAlignment="1">
      <alignment horizontal="right" vertical="center"/>
    </xf>
    <xf numFmtId="179" fontId="0" fillId="5" borderId="53" xfId="0" applyNumberFormat="1" applyFill="1" applyBorder="1" applyAlignment="1">
      <alignment horizontal="right" vertical="center"/>
    </xf>
    <xf numFmtId="0" fontId="11" fillId="0" borderId="31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left" vertical="center" wrapText="1"/>
    </xf>
    <xf numFmtId="0" fontId="11" fillId="0" borderId="78" xfId="0" applyFont="1" applyBorder="1" applyAlignment="1">
      <alignment horizontal="left" vertical="center" wrapText="1"/>
    </xf>
    <xf numFmtId="0" fontId="0" fillId="0" borderId="8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49" xfId="0" applyFont="1" applyBorder="1" applyAlignment="1">
      <alignment vertical="center"/>
    </xf>
    <xf numFmtId="0" fontId="11" fillId="0" borderId="50" xfId="0" applyFont="1" applyBorder="1" applyAlignment="1">
      <alignment vertical="center"/>
    </xf>
    <xf numFmtId="0" fontId="16" fillId="0" borderId="49" xfId="0" applyFont="1" applyBorder="1" applyAlignment="1">
      <alignment horizontal="right" vertical="center"/>
    </xf>
    <xf numFmtId="0" fontId="16" fillId="0" borderId="27" xfId="0" applyFont="1" applyBorder="1" applyAlignment="1">
      <alignment horizontal="right" vertical="center"/>
    </xf>
    <xf numFmtId="0" fontId="14" fillId="3" borderId="78" xfId="0" applyFont="1" applyFill="1" applyBorder="1" applyAlignment="1">
      <alignment horizontal="center" vertical="center"/>
    </xf>
    <xf numFmtId="0" fontId="14" fillId="3" borderId="53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0" fillId="0" borderId="79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31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180" fontId="0" fillId="3" borderId="80" xfId="0" applyNumberFormat="1" applyFill="1" applyBorder="1" applyAlignment="1">
      <alignment horizontal="right" vertical="center"/>
    </xf>
    <xf numFmtId="180" fontId="0" fillId="3" borderId="61" xfId="0" applyNumberFormat="1" applyFill="1" applyBorder="1" applyAlignment="1">
      <alignment horizontal="right" vertical="center"/>
    </xf>
    <xf numFmtId="193" fontId="0" fillId="5" borderId="52" xfId="0" applyNumberFormat="1" applyFill="1" applyBorder="1" applyAlignment="1">
      <alignment horizontal="right" vertical="center"/>
    </xf>
    <xf numFmtId="193" fontId="0" fillId="5" borderId="53" xfId="0" applyNumberFormat="1" applyFill="1" applyBorder="1" applyAlignment="1">
      <alignment horizontal="right" vertical="center"/>
    </xf>
    <xf numFmtId="0" fontId="11" fillId="0" borderId="47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1" fillId="0" borderId="52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31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1" fillId="0" borderId="46" xfId="0" applyFont="1" applyBorder="1" applyAlignment="1">
      <alignment horizontal="left" vertical="center"/>
    </xf>
    <xf numFmtId="0" fontId="11" fillId="0" borderId="4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76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8" fillId="7" borderId="0" xfId="0" applyFont="1" applyFill="1" applyAlignment="1">
      <alignment horizontal="center" vertical="center"/>
    </xf>
    <xf numFmtId="179" fontId="0" fillId="3" borderId="77" xfId="0" applyNumberFormat="1" applyFill="1" applyBorder="1" applyAlignment="1">
      <alignment horizontal="right" vertical="center" shrinkToFit="1"/>
    </xf>
    <xf numFmtId="179" fontId="0" fillId="3" borderId="48" xfId="0" applyNumberFormat="1" applyFill="1" applyBorder="1" applyAlignment="1">
      <alignment horizontal="right" vertical="center" shrinkToFit="1"/>
    </xf>
    <xf numFmtId="0" fontId="0" fillId="0" borderId="14" xfId="0" applyBorder="1" applyAlignment="1">
      <alignment horizontal="center" vertical="center"/>
    </xf>
    <xf numFmtId="0" fontId="0" fillId="0" borderId="46" xfId="0" applyFill="1" applyBorder="1" applyAlignment="1">
      <alignment vertical="center" shrinkToFit="1"/>
    </xf>
    <xf numFmtId="0" fontId="0" fillId="0" borderId="47" xfId="0" applyFill="1" applyBorder="1" applyAlignment="1">
      <alignment vertical="center" shrinkToFit="1"/>
    </xf>
    <xf numFmtId="194" fontId="0" fillId="0" borderId="0" xfId="0" applyNumberFormat="1" applyAlignment="1">
      <alignment horizontal="center" vertical="center" shrinkToFit="1"/>
    </xf>
    <xf numFmtId="0" fontId="11" fillId="0" borderId="46" xfId="0" applyFont="1" applyBorder="1" applyAlignment="1">
      <alignment vertical="center" wrapText="1"/>
    </xf>
    <xf numFmtId="0" fontId="11" fillId="0" borderId="14" xfId="0" applyFont="1" applyBorder="1" applyAlignment="1">
      <alignment vertical="center"/>
    </xf>
    <xf numFmtId="0" fontId="11" fillId="0" borderId="46" xfId="0" applyFont="1" applyBorder="1" applyAlignment="1">
      <alignment vertical="center"/>
    </xf>
    <xf numFmtId="0" fontId="0" fillId="0" borderId="4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2" fontId="32" fillId="5" borderId="49" xfId="0" applyNumberFormat="1" applyFont="1" applyFill="1" applyBorder="1" applyAlignment="1">
      <alignment horizontal="center" vertical="center" shrinkToFit="1"/>
    </xf>
    <xf numFmtId="2" fontId="32" fillId="5" borderId="50" xfId="0" applyNumberFormat="1" applyFont="1" applyFill="1" applyBorder="1" applyAlignment="1">
      <alignment horizontal="center" vertical="center" shrinkToFit="1"/>
    </xf>
    <xf numFmtId="0" fontId="32" fillId="0" borderId="87" xfId="0" applyFont="1" applyBorder="1" applyAlignment="1">
      <alignment horizontal="center" vertical="center" shrinkToFit="1"/>
    </xf>
    <xf numFmtId="0" fontId="32" fillId="0" borderId="88" xfId="0" applyFont="1" applyBorder="1" applyAlignment="1">
      <alignment horizontal="center" vertical="center" shrinkToFit="1"/>
    </xf>
    <xf numFmtId="200" fontId="6" fillId="7" borderId="49" xfId="0" applyNumberFormat="1" applyFont="1" applyFill="1" applyBorder="1" applyAlignment="1">
      <alignment horizontal="center" vertical="center" shrinkToFit="1"/>
    </xf>
    <xf numFmtId="200" fontId="6" fillId="7" borderId="50" xfId="0" applyNumberFormat="1" applyFont="1" applyFill="1" applyBorder="1" applyAlignment="1">
      <alignment horizontal="center" vertical="center" shrinkToFit="1"/>
    </xf>
    <xf numFmtId="0" fontId="35" fillId="0" borderId="3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193" fontId="35" fillId="5" borderId="49" xfId="0" applyNumberFormat="1" applyFont="1" applyFill="1" applyBorder="1" applyAlignment="1">
      <alignment horizontal="center" vertical="center" shrinkToFit="1"/>
    </xf>
    <xf numFmtId="193" fontId="35" fillId="5" borderId="50" xfId="0" applyNumberFormat="1" applyFont="1" applyFill="1" applyBorder="1" applyAlignment="1">
      <alignment horizontal="center" vertical="center" shrinkToFit="1"/>
    </xf>
    <xf numFmtId="0" fontId="32" fillId="0" borderId="49" xfId="0" applyFont="1" applyBorder="1" applyAlignment="1">
      <alignment horizontal="center" vertical="center" shrinkToFit="1"/>
    </xf>
    <xf numFmtId="0" fontId="32" fillId="0" borderId="50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00" fontId="0" fillId="7" borderId="49" xfId="0" applyNumberFormat="1" applyFill="1" applyBorder="1" applyAlignment="1">
      <alignment horizontal="center" vertical="center"/>
    </xf>
    <xf numFmtId="200" fontId="0" fillId="7" borderId="27" xfId="0" applyNumberFormat="1" applyFill="1" applyBorder="1" applyAlignment="1">
      <alignment horizontal="center" vertical="center"/>
    </xf>
    <xf numFmtId="199" fontId="0" fillId="7" borderId="49" xfId="0" applyNumberFormat="1" applyFill="1" applyBorder="1" applyAlignment="1">
      <alignment horizontal="center" vertical="center"/>
    </xf>
    <xf numFmtId="199" fontId="0" fillId="7" borderId="50" xfId="0" applyNumberForma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98" fontId="0" fillId="7" borderId="49" xfId="0" applyNumberFormat="1" applyFill="1" applyBorder="1" applyAlignment="1">
      <alignment horizontal="center" vertical="center" shrinkToFit="1"/>
    </xf>
    <xf numFmtId="198" fontId="0" fillId="7" borderId="50" xfId="0" applyNumberFormat="1" applyFill="1" applyBorder="1" applyAlignment="1">
      <alignment horizontal="center" vertical="center" shrinkToFit="1"/>
    </xf>
    <xf numFmtId="182" fontId="35" fillId="7" borderId="49" xfId="0" applyNumberFormat="1" applyFont="1" applyFill="1" applyBorder="1" applyAlignment="1">
      <alignment horizontal="center" vertical="center" shrinkToFit="1"/>
    </xf>
    <xf numFmtId="182" fontId="35" fillId="7" borderId="50" xfId="0" applyNumberFormat="1" applyFont="1" applyFill="1" applyBorder="1" applyAlignment="1">
      <alignment horizontal="center" vertical="center" shrinkToFit="1"/>
    </xf>
    <xf numFmtId="193" fontId="32" fillId="7" borderId="49" xfId="0" applyNumberFormat="1" applyFont="1" applyFill="1" applyBorder="1" applyAlignment="1">
      <alignment horizontal="center" vertical="center" shrinkToFit="1"/>
    </xf>
    <xf numFmtId="193" fontId="32" fillId="7" borderId="50" xfId="0" applyNumberFormat="1" applyFont="1" applyFill="1" applyBorder="1" applyAlignment="1">
      <alignment horizontal="center" vertical="center" shrinkToFit="1"/>
    </xf>
    <xf numFmtId="193" fontId="0" fillId="7" borderId="49" xfId="0" applyNumberFormat="1" applyFill="1" applyBorder="1" applyAlignment="1">
      <alignment horizontal="center" vertical="center" shrinkToFit="1"/>
    </xf>
    <xf numFmtId="193" fontId="0" fillId="7" borderId="50" xfId="0" applyNumberFormat="1" applyFill="1" applyBorder="1" applyAlignment="1">
      <alignment horizontal="center" vertical="center" shrinkToFit="1"/>
    </xf>
    <xf numFmtId="185" fontId="35" fillId="7" borderId="76" xfId="0" applyNumberFormat="1" applyFont="1" applyFill="1" applyBorder="1" applyAlignment="1">
      <alignment horizontal="center" vertical="center" shrinkToFit="1"/>
    </xf>
    <xf numFmtId="185" fontId="35" fillId="7" borderId="1" xfId="0" applyNumberFormat="1" applyFont="1" applyFill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98" fontId="0" fillId="7" borderId="3" xfId="0" applyNumberFormat="1" applyFill="1" applyBorder="1" applyAlignment="1">
      <alignment horizontal="center" vertical="center" shrinkToFit="1"/>
    </xf>
    <xf numFmtId="201" fontId="0" fillId="7" borderId="3" xfId="0" applyNumberFormat="1" applyFill="1" applyBorder="1" applyAlignment="1">
      <alignment horizontal="center" vertical="center" shrinkToFi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93" fontId="0" fillId="5" borderId="49" xfId="0" applyNumberFormat="1" applyFill="1" applyBorder="1" applyAlignment="1">
      <alignment horizontal="center" vertical="center"/>
    </xf>
    <xf numFmtId="193" fontId="0" fillId="5" borderId="50" xfId="0" applyNumberFormat="1" applyFill="1" applyBorder="1" applyAlignment="1">
      <alignment horizontal="center" vertical="center"/>
    </xf>
    <xf numFmtId="193" fontId="0" fillId="5" borderId="85" xfId="0" applyNumberFormat="1" applyFill="1" applyBorder="1" applyAlignment="1">
      <alignment horizontal="center" vertical="center"/>
    </xf>
    <xf numFmtId="193" fontId="0" fillId="5" borderId="86" xfId="0" applyNumberFormat="1" applyFill="1" applyBorder="1" applyAlignment="1">
      <alignment horizontal="center" vertical="center"/>
    </xf>
    <xf numFmtId="2" fontId="35" fillId="5" borderId="49" xfId="0" applyNumberFormat="1" applyFont="1" applyFill="1" applyBorder="1" applyAlignment="1">
      <alignment horizontal="center" vertical="center" shrinkToFit="1"/>
    </xf>
    <xf numFmtId="2" fontId="35" fillId="5" borderId="50" xfId="0" applyNumberFormat="1" applyFont="1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82" xfId="0" applyFont="1" applyBorder="1" applyAlignment="1">
      <alignment horizontal="center" vertical="center" textRotation="255"/>
    </xf>
    <xf numFmtId="0" fontId="11" fillId="0" borderId="83" xfId="0" applyFont="1" applyBorder="1" applyAlignment="1">
      <alignment horizontal="center" vertical="center" textRotation="255"/>
    </xf>
    <xf numFmtId="0" fontId="11" fillId="0" borderId="84" xfId="0" applyFont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201" fontId="0" fillId="5" borderId="47" xfId="0" applyNumberFormat="1" applyFill="1" applyBorder="1" applyAlignment="1">
      <alignment horizontal="center" vertical="center"/>
    </xf>
    <xf numFmtId="201" fontId="0" fillId="5" borderId="19" xfId="0" applyNumberFormat="1" applyFill="1" applyBorder="1" applyAlignment="1">
      <alignment horizontal="center" vertical="center"/>
    </xf>
    <xf numFmtId="2" fontId="0" fillId="5" borderId="49" xfId="0" applyNumberFormat="1" applyFill="1" applyBorder="1" applyAlignment="1">
      <alignment horizontal="center" vertical="center"/>
    </xf>
    <xf numFmtId="2" fontId="0" fillId="5" borderId="50" xfId="0" applyNumberForma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right" vertical="center" textRotation="90"/>
    </xf>
    <xf numFmtId="198" fontId="7" fillId="7" borderId="46" xfId="0" applyNumberFormat="1" applyFont="1" applyFill="1" applyBorder="1" applyAlignment="1">
      <alignment horizontal="center" vertical="center"/>
    </xf>
    <xf numFmtId="198" fontId="7" fillId="7" borderId="14" xfId="0" applyNumberFormat="1" applyFont="1" applyFill="1" applyBorder="1" applyAlignment="1">
      <alignment horizontal="center" vertical="center"/>
    </xf>
    <xf numFmtId="198" fontId="7" fillId="7" borderId="47" xfId="0" applyNumberFormat="1" applyFont="1" applyFill="1" applyBorder="1" applyAlignment="1">
      <alignment horizontal="center" vertical="center"/>
    </xf>
    <xf numFmtId="198" fontId="7" fillId="7" borderId="19" xfId="0" applyNumberFormat="1" applyFont="1" applyFill="1" applyBorder="1" applyAlignment="1">
      <alignment horizontal="center" vertical="center"/>
    </xf>
    <xf numFmtId="193" fontId="35" fillId="7" borderId="49" xfId="0" applyNumberFormat="1" applyFont="1" applyFill="1" applyBorder="1" applyAlignment="1">
      <alignment horizontal="center" vertical="center" shrinkToFit="1"/>
    </xf>
    <xf numFmtId="193" fontId="35" fillId="7" borderId="50" xfId="0" applyNumberFormat="1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198" fontId="8" fillId="7" borderId="98" xfId="0" applyNumberFormat="1" applyFont="1" applyFill="1" applyBorder="1" applyAlignment="1">
      <alignment horizontal="center" vertical="center"/>
    </xf>
    <xf numFmtId="198" fontId="8" fillId="7" borderId="42" xfId="0" applyNumberFormat="1" applyFont="1" applyFill="1" applyBorder="1" applyAlignment="1">
      <alignment horizontal="center" vertical="center"/>
    </xf>
    <xf numFmtId="198" fontId="8" fillId="7" borderId="99" xfId="0" applyNumberFormat="1" applyFont="1" applyFill="1" applyBorder="1" applyAlignment="1">
      <alignment horizontal="center" vertical="center"/>
    </xf>
    <xf numFmtId="198" fontId="8" fillId="7" borderId="16" xfId="0" applyNumberFormat="1" applyFont="1" applyFill="1" applyBorder="1" applyAlignment="1">
      <alignment horizontal="center" vertical="center"/>
    </xf>
    <xf numFmtId="198" fontId="8" fillId="7" borderId="100" xfId="0" applyNumberFormat="1" applyFont="1" applyFill="1" applyBorder="1" applyAlignment="1">
      <alignment horizontal="center" vertical="center"/>
    </xf>
    <xf numFmtId="198" fontId="8" fillId="7" borderId="17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5" borderId="49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181" fontId="0" fillId="7" borderId="49" xfId="0" applyNumberFormat="1" applyFill="1" applyBorder="1" applyAlignment="1">
      <alignment horizontal="center" vertical="center"/>
    </xf>
    <xf numFmtId="0" fontId="0" fillId="7" borderId="50" xfId="0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195" fontId="8" fillId="7" borderId="46" xfId="0" applyNumberFormat="1" applyFont="1" applyFill="1" applyBorder="1" applyAlignment="1">
      <alignment horizontal="center" vertical="center"/>
    </xf>
    <xf numFmtId="195" fontId="8" fillId="7" borderId="13" xfId="0" applyNumberFormat="1" applyFont="1" applyFill="1" applyBorder="1" applyAlignment="1">
      <alignment horizontal="center" vertical="center"/>
    </xf>
    <xf numFmtId="195" fontId="8" fillId="7" borderId="14" xfId="0" applyNumberFormat="1" applyFont="1" applyFill="1" applyBorder="1" applyAlignment="1">
      <alignment horizontal="center" vertical="center"/>
    </xf>
    <xf numFmtId="195" fontId="8" fillId="7" borderId="47" xfId="0" applyNumberFormat="1" applyFont="1" applyFill="1" applyBorder="1" applyAlignment="1">
      <alignment horizontal="center" vertical="center"/>
    </xf>
    <xf numFmtId="195" fontId="8" fillId="7" borderId="18" xfId="0" applyNumberFormat="1" applyFont="1" applyFill="1" applyBorder="1" applyAlignment="1">
      <alignment horizontal="center" vertical="center"/>
    </xf>
    <xf numFmtId="195" fontId="8" fillId="7" borderId="19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shrinkToFit="1"/>
    </xf>
    <xf numFmtId="0" fontId="11" fillId="0" borderId="95" xfId="0" applyFont="1" applyBorder="1" applyAlignment="1">
      <alignment horizontal="left" vertical="center" shrinkToFit="1"/>
    </xf>
    <xf numFmtId="0" fontId="0" fillId="0" borderId="0" xfId="0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 wrapText="1"/>
    </xf>
    <xf numFmtId="0" fontId="10" fillId="0" borderId="89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197" fontId="8" fillId="7" borderId="46" xfId="0" applyNumberFormat="1" applyFont="1" applyFill="1" applyBorder="1" applyAlignment="1">
      <alignment horizontal="center" vertical="center" shrinkToFit="1"/>
    </xf>
    <xf numFmtId="197" fontId="8" fillId="7" borderId="14" xfId="0" applyNumberFormat="1" applyFont="1" applyFill="1" applyBorder="1" applyAlignment="1">
      <alignment horizontal="center" vertical="center" shrinkToFit="1"/>
    </xf>
    <xf numFmtId="197" fontId="8" fillId="7" borderId="47" xfId="0" applyNumberFormat="1" applyFont="1" applyFill="1" applyBorder="1" applyAlignment="1">
      <alignment horizontal="center" vertical="center" shrinkToFit="1"/>
    </xf>
    <xf numFmtId="197" fontId="8" fillId="7" borderId="19" xfId="0" applyNumberFormat="1" applyFont="1" applyFill="1" applyBorder="1" applyAlignment="1">
      <alignment horizontal="center" vertical="center" shrinkToFit="1"/>
    </xf>
    <xf numFmtId="0" fontId="6" fillId="0" borderId="95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2" fontId="0" fillId="0" borderId="3" xfId="0" applyNumberFormat="1" applyFont="1" applyBorder="1" applyAlignment="1">
      <alignment horizontal="center" vertical="center"/>
    </xf>
    <xf numFmtId="196" fontId="0" fillId="5" borderId="3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194" fontId="0" fillId="7" borderId="3" xfId="0" applyNumberFormat="1" applyFont="1" applyFill="1" applyBorder="1" applyAlignment="1">
      <alignment horizontal="right" vertical="center"/>
    </xf>
    <xf numFmtId="2" fontId="0" fillId="7" borderId="46" xfId="0" applyNumberFormat="1" applyFill="1" applyBorder="1" applyAlignment="1">
      <alignment horizontal="center" vertical="center" shrinkToFit="1"/>
    </xf>
    <xf numFmtId="2" fontId="0" fillId="7" borderId="14" xfId="0" applyNumberFormat="1" applyFill="1" applyBorder="1" applyAlignment="1">
      <alignment horizontal="center" vertical="center" shrinkToFit="1"/>
    </xf>
    <xf numFmtId="2" fontId="0" fillId="7" borderId="47" xfId="0" applyNumberFormat="1" applyFill="1" applyBorder="1" applyAlignment="1">
      <alignment horizontal="center" vertical="center" shrinkToFit="1"/>
    </xf>
    <xf numFmtId="2" fontId="0" fillId="7" borderId="19" xfId="0" applyNumberFormat="1" applyFill="1" applyBorder="1" applyAlignment="1">
      <alignment horizontal="center" vertical="center" shrinkToFit="1"/>
    </xf>
    <xf numFmtId="0" fontId="0" fillId="4" borderId="40" xfId="0" applyFill="1" applyBorder="1" applyAlignment="1">
      <alignment horizontal="center" vertical="center"/>
    </xf>
    <xf numFmtId="178" fontId="0" fillId="7" borderId="40" xfId="0" applyNumberFormat="1" applyFill="1" applyBorder="1" applyAlignment="1">
      <alignment horizontal="center" vertical="center"/>
    </xf>
    <xf numFmtId="178" fontId="0" fillId="7" borderId="53" xfId="0" applyNumberFormat="1" applyFill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96" fontId="0" fillId="5" borderId="3" xfId="0" applyNumberFormat="1" applyFill="1" applyBorder="1" applyAlignment="1">
      <alignment vertical="center"/>
    </xf>
    <xf numFmtId="196" fontId="0" fillId="5" borderId="40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94" fontId="0" fillId="0" borderId="3" xfId="0" applyNumberFormat="1" applyFont="1" applyBorder="1" applyAlignment="1">
      <alignment horizontal="center" vertical="center"/>
    </xf>
    <xf numFmtId="194" fontId="0" fillId="7" borderId="49" xfId="0" applyNumberFormat="1" applyFont="1" applyFill="1" applyBorder="1" applyAlignment="1">
      <alignment horizontal="right" vertical="center"/>
    </xf>
    <xf numFmtId="194" fontId="0" fillId="7" borderId="50" xfId="0" applyNumberFormat="1" applyFont="1" applyFill="1" applyBorder="1" applyAlignment="1">
      <alignment horizontal="right" vertical="center"/>
    </xf>
    <xf numFmtId="196" fontId="0" fillId="0" borderId="49" xfId="0" applyNumberFormat="1" applyFont="1" applyFill="1" applyBorder="1" applyAlignment="1">
      <alignment horizontal="right" vertical="center"/>
    </xf>
    <xf numFmtId="196" fontId="0" fillId="0" borderId="5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94" fontId="10" fillId="5" borderId="49" xfId="0" applyNumberFormat="1" applyFont="1" applyFill="1" applyBorder="1" applyAlignment="1">
      <alignment horizontal="center" vertical="center" shrinkToFit="1"/>
    </xf>
    <xf numFmtId="194" fontId="10" fillId="5" borderId="50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196" fontId="0" fillId="7" borderId="49" xfId="0" applyNumberFormat="1" applyFont="1" applyFill="1" applyBorder="1" applyAlignment="1">
      <alignment horizontal="right" vertical="center"/>
    </xf>
    <xf numFmtId="196" fontId="0" fillId="7" borderId="50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" fontId="0" fillId="0" borderId="40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 textRotation="255"/>
    </xf>
    <xf numFmtId="0" fontId="0" fillId="5" borderId="54" xfId="0" applyFill="1" applyBorder="1" applyAlignment="1">
      <alignment horizontal="center" vertical="center"/>
    </xf>
    <xf numFmtId="0" fontId="10" fillId="5" borderId="49" xfId="0" applyFont="1" applyFill="1" applyBorder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0" fillId="0" borderId="79" xfId="0" applyFill="1" applyBorder="1" applyAlignment="1">
      <alignment horizontal="center" vertical="center" shrinkToFit="1"/>
    </xf>
    <xf numFmtId="0" fontId="0" fillId="0" borderId="81" xfId="0" applyFill="1" applyBorder="1" applyAlignment="1">
      <alignment horizontal="center" vertical="center" shrinkToFit="1"/>
    </xf>
    <xf numFmtId="0" fontId="0" fillId="0" borderId="102" xfId="0" applyFill="1" applyBorder="1" applyAlignment="1">
      <alignment horizontal="center" vertical="center" shrinkToFit="1"/>
    </xf>
    <xf numFmtId="0" fontId="0" fillId="0" borderId="103" xfId="0" applyFill="1" applyBorder="1" applyAlignment="1">
      <alignment horizontal="center" vertical="center" shrinkToFit="1"/>
    </xf>
    <xf numFmtId="0" fontId="0" fillId="0" borderId="79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178" fontId="3" fillId="7" borderId="31" xfId="0" applyNumberFormat="1" applyFont="1" applyFill="1" applyBorder="1" applyAlignment="1">
      <alignment horizontal="right" vertical="center"/>
    </xf>
    <xf numFmtId="178" fontId="3" fillId="7" borderId="53" xfId="0" applyNumberFormat="1" applyFont="1" applyFill="1" applyBorder="1" applyAlignment="1">
      <alignment horizontal="right" vertical="center"/>
    </xf>
    <xf numFmtId="178" fontId="0" fillId="7" borderId="52" xfId="0" applyNumberFormat="1" applyFill="1" applyBorder="1" applyAlignment="1">
      <alignment horizontal="center" vertical="center"/>
    </xf>
    <xf numFmtId="178" fontId="0" fillId="4" borderId="79" xfId="0" applyNumberFormat="1" applyFill="1" applyBorder="1" applyAlignment="1">
      <alignment horizontal="center" vertical="center"/>
    </xf>
    <xf numFmtId="178" fontId="0" fillId="4" borderId="81" xfId="0" applyNumberFormat="1" applyFill="1" applyBorder="1" applyAlignment="1">
      <alignment horizontal="center" vertical="center"/>
    </xf>
    <xf numFmtId="178" fontId="0" fillId="4" borderId="102" xfId="0" applyNumberFormat="1" applyFill="1" applyBorder="1" applyAlignment="1">
      <alignment horizontal="center" vertical="center"/>
    </xf>
    <xf numFmtId="178" fontId="0" fillId="4" borderId="103" xfId="0" applyNumberFormat="1" applyFill="1" applyBorder="1" applyAlignment="1">
      <alignment horizontal="center" vertical="center"/>
    </xf>
    <xf numFmtId="0" fontId="0" fillId="4" borderId="79" xfId="0" applyFill="1" applyBorder="1" applyAlignment="1">
      <alignment horizontal="center" vertical="center"/>
    </xf>
    <xf numFmtId="0" fontId="0" fillId="4" borderId="81" xfId="0" applyFill="1" applyBorder="1" applyAlignment="1">
      <alignment horizontal="center" vertical="center"/>
    </xf>
    <xf numFmtId="0" fontId="0" fillId="4" borderId="102" xfId="0" applyFill="1" applyBorder="1" applyAlignment="1">
      <alignment horizontal="center" vertical="center"/>
    </xf>
    <xf numFmtId="0" fontId="0" fillId="4" borderId="103" xfId="0" applyFill="1" applyBorder="1" applyAlignment="1">
      <alignment horizontal="center" vertical="center"/>
    </xf>
    <xf numFmtId="194" fontId="10" fillId="5" borderId="49" xfId="0" applyNumberFormat="1" applyFont="1" applyFill="1" applyBorder="1" applyAlignment="1">
      <alignment vertical="center" shrinkToFit="1"/>
    </xf>
    <xf numFmtId="194" fontId="10" fillId="5" borderId="50" xfId="0" applyNumberFormat="1" applyFont="1" applyFill="1" applyBorder="1" applyAlignment="1">
      <alignment vertical="center" shrinkToFit="1"/>
    </xf>
    <xf numFmtId="194" fontId="10" fillId="5" borderId="27" xfId="0" applyNumberFormat="1" applyFont="1" applyFill="1" applyBorder="1" applyAlignment="1">
      <alignment horizontal="center" vertical="center" shrinkToFit="1"/>
    </xf>
    <xf numFmtId="0" fontId="0" fillId="0" borderId="103" xfId="0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196" fontId="0" fillId="5" borderId="41" xfId="0" applyNumberFormat="1" applyFill="1" applyBorder="1" applyAlignment="1">
      <alignment vertical="center"/>
    </xf>
    <xf numFmtId="0" fontId="8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3" fillId="7" borderId="69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73" xfId="0" applyFont="1" applyFill="1" applyBorder="1" applyAlignment="1">
      <alignment horizontal="center" vertical="center"/>
    </xf>
    <xf numFmtId="0" fontId="3" fillId="7" borderId="10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178" fontId="8" fillId="7" borderId="67" xfId="0" applyNumberFormat="1" applyFont="1" applyFill="1" applyBorder="1" applyAlignment="1">
      <alignment horizontal="center" vertical="center"/>
    </xf>
    <xf numFmtId="0" fontId="8" fillId="7" borderId="43" xfId="0" applyNumberFormat="1" applyFont="1" applyFill="1" applyBorder="1" applyAlignment="1">
      <alignment horizontal="center" vertical="center"/>
    </xf>
    <xf numFmtId="0" fontId="8" fillId="7" borderId="68" xfId="0" applyNumberFormat="1" applyFont="1" applyFill="1" applyBorder="1" applyAlignment="1">
      <alignment horizontal="center" vertical="center"/>
    </xf>
    <xf numFmtId="0" fontId="8" fillId="7" borderId="73" xfId="0" applyNumberFormat="1" applyFont="1" applyFill="1" applyBorder="1" applyAlignment="1">
      <alignment horizontal="center" vertical="center"/>
    </xf>
    <xf numFmtId="0" fontId="8" fillId="7" borderId="101" xfId="0" applyNumberFormat="1" applyFont="1" applyFill="1" applyBorder="1" applyAlignment="1">
      <alignment horizontal="center" vertical="center"/>
    </xf>
    <xf numFmtId="0" fontId="8" fillId="7" borderId="7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78" fontId="3" fillId="7" borderId="3" xfId="0" applyNumberFormat="1" applyFont="1" applyFill="1" applyBorder="1" applyAlignment="1">
      <alignment horizontal="center" vertical="center"/>
    </xf>
    <xf numFmtId="0" fontId="3" fillId="7" borderId="70" xfId="0" applyFont="1" applyFill="1" applyBorder="1" applyAlignment="1">
      <alignment horizontal="center" vertical="center"/>
    </xf>
    <xf numFmtId="0" fontId="3" fillId="7" borderId="74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192" fontId="11" fillId="7" borderId="0" xfId="2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9" fillId="0" borderId="0" xfId="0" applyFont="1" applyBorder="1" applyAlignment="1">
      <alignment vertical="center" shrinkToFit="1"/>
    </xf>
    <xf numFmtId="0" fontId="11" fillId="0" borderId="0" xfId="0" applyFont="1" applyFill="1" applyBorder="1" applyAlignment="1">
      <alignment horizontal="left" vertical="center" indent="1"/>
    </xf>
    <xf numFmtId="0" fontId="11" fillId="0" borderId="0" xfId="0" applyFont="1" applyBorder="1" applyAlignment="1">
      <alignment horizontal="left" vertical="center"/>
    </xf>
    <xf numFmtId="189" fontId="11" fillId="0" borderId="0" xfId="2" applyNumberFormat="1" applyFont="1" applyFill="1" applyBorder="1" applyAlignment="1">
      <alignment horizontal="right" vertical="center"/>
    </xf>
    <xf numFmtId="0" fontId="11" fillId="0" borderId="27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indent="1" shrinkToFit="1"/>
    </xf>
    <xf numFmtId="191" fontId="11" fillId="5" borderId="0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shrinkToFit="1"/>
    </xf>
    <xf numFmtId="202" fontId="11" fillId="5" borderId="0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vertical="center" shrinkToFit="1"/>
    </xf>
    <xf numFmtId="191" fontId="11" fillId="5" borderId="0" xfId="0" applyNumberFormat="1" applyFont="1" applyFill="1" applyBorder="1" applyAlignment="1">
      <alignment horizontal="right" vertical="center"/>
    </xf>
    <xf numFmtId="203" fontId="11" fillId="5" borderId="125" xfId="2" applyNumberFormat="1" applyFont="1" applyFill="1" applyBorder="1" applyAlignment="1">
      <alignment vertical="center"/>
    </xf>
    <xf numFmtId="203" fontId="11" fillId="5" borderId="37" xfId="2" applyNumberFormat="1" applyFont="1" applyFill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1" fillId="0" borderId="126" xfId="0" applyFont="1" applyBorder="1" applyAlignment="1">
      <alignment vertical="center"/>
    </xf>
    <xf numFmtId="203" fontId="11" fillId="5" borderId="113" xfId="2" applyNumberFormat="1" applyFont="1" applyFill="1" applyBorder="1" applyAlignment="1">
      <alignment vertical="center"/>
    </xf>
    <xf numFmtId="0" fontId="11" fillId="0" borderId="113" xfId="0" applyFont="1" applyBorder="1" applyAlignment="1">
      <alignment vertical="center"/>
    </xf>
    <xf numFmtId="0" fontId="11" fillId="0" borderId="114" xfId="0" applyFont="1" applyBorder="1" applyAlignment="1">
      <alignment vertical="center"/>
    </xf>
    <xf numFmtId="203" fontId="11" fillId="5" borderId="112" xfId="2" applyNumberFormat="1" applyFont="1" applyFill="1" applyBorder="1" applyAlignment="1">
      <alignment vertical="center"/>
    </xf>
    <xf numFmtId="0" fontId="11" fillId="0" borderId="121" xfId="0" applyFont="1" applyBorder="1" applyAlignment="1">
      <alignment vertical="center" shrinkToFit="1"/>
    </xf>
    <xf numFmtId="0" fontId="11" fillId="0" borderId="97" xfId="0" applyFont="1" applyBorder="1" applyAlignment="1">
      <alignment vertical="center" shrinkToFit="1"/>
    </xf>
    <xf numFmtId="0" fontId="11" fillId="0" borderId="117" xfId="0" applyFont="1" applyBorder="1" applyAlignment="1">
      <alignment vertical="center" shrinkToFit="1"/>
    </xf>
    <xf numFmtId="0" fontId="11" fillId="6" borderId="122" xfId="0" applyFont="1" applyFill="1" applyBorder="1" applyAlignment="1">
      <alignment vertical="center"/>
    </xf>
    <xf numFmtId="0" fontId="11" fillId="6" borderId="124" xfId="0" applyFont="1" applyFill="1" applyBorder="1" applyAlignment="1">
      <alignment vertical="center"/>
    </xf>
    <xf numFmtId="0" fontId="11" fillId="6" borderId="123" xfId="0" applyFont="1" applyFill="1" applyBorder="1" applyAlignment="1">
      <alignment vertical="center"/>
    </xf>
    <xf numFmtId="203" fontId="11" fillId="5" borderId="97" xfId="2" applyNumberFormat="1" applyFont="1" applyFill="1" applyBorder="1" applyAlignment="1">
      <alignment vertical="center"/>
    </xf>
    <xf numFmtId="203" fontId="11" fillId="5" borderId="121" xfId="2" applyNumberFormat="1" applyFont="1" applyFill="1" applyBorder="1" applyAlignment="1">
      <alignment vertical="center"/>
    </xf>
    <xf numFmtId="203" fontId="11" fillId="6" borderId="122" xfId="2" applyNumberFormat="1" applyFont="1" applyFill="1" applyBorder="1" applyAlignment="1">
      <alignment vertical="center"/>
    </xf>
    <xf numFmtId="203" fontId="11" fillId="6" borderId="123" xfId="2" applyNumberFormat="1" applyFont="1" applyFill="1" applyBorder="1" applyAlignment="1">
      <alignment vertical="center"/>
    </xf>
    <xf numFmtId="203" fontId="11" fillId="6" borderId="119" xfId="2" applyNumberFormat="1" applyFont="1" applyFill="1" applyBorder="1" applyAlignment="1">
      <alignment vertical="center"/>
    </xf>
    <xf numFmtId="203" fontId="11" fillId="6" borderId="120" xfId="2" applyNumberFormat="1" applyFont="1" applyFill="1" applyBorder="1" applyAlignment="1">
      <alignment vertical="center"/>
    </xf>
    <xf numFmtId="0" fontId="11" fillId="6" borderId="119" xfId="0" applyFont="1" applyFill="1" applyBorder="1" applyAlignment="1">
      <alignment vertical="center"/>
    </xf>
    <xf numFmtId="0" fontId="11" fillId="6" borderId="113" xfId="0" applyFont="1" applyFill="1" applyBorder="1" applyAlignment="1">
      <alignment vertical="center"/>
    </xf>
    <xf numFmtId="0" fontId="11" fillId="6" borderId="120" xfId="0" applyFont="1" applyFill="1" applyBorder="1" applyAlignment="1">
      <alignment vertical="center"/>
    </xf>
    <xf numFmtId="203" fontId="11" fillId="6" borderId="115" xfId="2" applyNumberFormat="1" applyFont="1" applyFill="1" applyBorder="1" applyAlignment="1">
      <alignment vertical="center"/>
    </xf>
    <xf numFmtId="203" fontId="11" fillId="6" borderId="116" xfId="2" applyNumberFormat="1" applyFont="1" applyFill="1" applyBorder="1" applyAlignment="1">
      <alignment vertical="center"/>
    </xf>
    <xf numFmtId="0" fontId="11" fillId="0" borderId="97" xfId="0" applyFont="1" applyBorder="1" applyAlignment="1">
      <alignment vertical="center"/>
    </xf>
    <xf numFmtId="0" fontId="11" fillId="0" borderId="117" xfId="0" applyFont="1" applyBorder="1" applyAlignment="1">
      <alignment vertical="center"/>
    </xf>
    <xf numFmtId="0" fontId="11" fillId="6" borderId="115" xfId="0" applyFont="1" applyFill="1" applyBorder="1" applyAlignment="1">
      <alignment vertical="center"/>
    </xf>
    <xf numFmtId="0" fontId="11" fillId="6" borderId="118" xfId="0" applyFont="1" applyFill="1" applyBorder="1" applyAlignment="1">
      <alignment vertical="center"/>
    </xf>
    <xf numFmtId="0" fontId="11" fillId="6" borderId="116" xfId="0" applyFont="1" applyFill="1" applyBorder="1" applyAlignment="1">
      <alignment vertical="center"/>
    </xf>
    <xf numFmtId="0" fontId="13" fillId="7" borderId="49" xfId="0" applyFont="1" applyFill="1" applyBorder="1" applyAlignment="1">
      <alignment horizontal="center" vertical="center"/>
    </xf>
    <xf numFmtId="0" fontId="13" fillId="7" borderId="5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203" fontId="11" fillId="7" borderId="47" xfId="2" applyNumberFormat="1" applyFont="1" applyFill="1" applyBorder="1" applyAlignment="1">
      <alignment horizontal="right" vertical="center"/>
    </xf>
    <xf numFmtId="203" fontId="11" fillId="7" borderId="18" xfId="2" applyNumberFormat="1" applyFont="1" applyFill="1" applyBorder="1" applyAlignment="1">
      <alignment horizontal="right" vertical="center"/>
    </xf>
    <xf numFmtId="0" fontId="11" fillId="0" borderId="27" xfId="0" applyFont="1" applyBorder="1" applyAlignment="1">
      <alignment vertical="center"/>
    </xf>
    <xf numFmtId="203" fontId="11" fillId="7" borderId="47" xfId="2" applyNumberFormat="1" applyFont="1" applyFill="1" applyBorder="1" applyAlignment="1">
      <alignment vertical="center"/>
    </xf>
    <xf numFmtId="203" fontId="11" fillId="7" borderId="18" xfId="2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1" fillId="9" borderId="49" xfId="0" applyFont="1" applyFill="1" applyBorder="1" applyAlignment="1">
      <alignment horizontal="center" vertical="center" shrinkToFit="1"/>
    </xf>
    <xf numFmtId="0" fontId="11" fillId="9" borderId="27" xfId="0" applyFont="1" applyFill="1" applyBorder="1" applyAlignment="1">
      <alignment horizontal="center" vertical="center" shrinkToFit="1"/>
    </xf>
    <xf numFmtId="0" fontId="11" fillId="9" borderId="50" xfId="0" applyFont="1" applyFill="1" applyBorder="1" applyAlignment="1">
      <alignment horizontal="center" vertical="center" shrinkToFit="1"/>
    </xf>
    <xf numFmtId="191" fontId="11" fillId="6" borderId="107" xfId="2" applyNumberFormat="1" applyFont="1" applyFill="1" applyBorder="1" applyAlignment="1">
      <alignment horizontal="right" vertical="center"/>
    </xf>
    <xf numFmtId="191" fontId="11" fillId="6" borderId="108" xfId="2" applyNumberFormat="1" applyFont="1" applyFill="1" applyBorder="1" applyAlignment="1">
      <alignment horizontal="right" vertical="center"/>
    </xf>
    <xf numFmtId="0" fontId="11" fillId="0" borderId="109" xfId="0" applyFont="1" applyBorder="1" applyAlignment="1">
      <alignment vertical="center"/>
    </xf>
    <xf numFmtId="0" fontId="11" fillId="0" borderId="110" xfId="0" applyFont="1" applyBorder="1" applyAlignment="1">
      <alignment vertical="center"/>
    </xf>
    <xf numFmtId="0" fontId="11" fillId="0" borderId="111" xfId="0" applyFont="1" applyBorder="1" applyAlignment="1">
      <alignment vertical="center"/>
    </xf>
    <xf numFmtId="0" fontId="11" fillId="0" borderId="112" xfId="0" applyFont="1" applyBorder="1" applyAlignment="1">
      <alignment vertical="center"/>
    </xf>
    <xf numFmtId="0" fontId="11" fillId="0" borderId="112" xfId="0" applyFont="1" applyBorder="1" applyAlignment="1">
      <alignment vertical="center" shrinkToFit="1"/>
    </xf>
    <xf numFmtId="0" fontId="11" fillId="0" borderId="113" xfId="0" applyFont="1" applyBorder="1" applyAlignment="1">
      <alignment vertical="center" shrinkToFit="1"/>
    </xf>
    <xf numFmtId="0" fontId="11" fillId="0" borderId="114" xfId="0" applyFont="1" applyBorder="1" applyAlignment="1">
      <alignment vertical="center" shrinkToFit="1"/>
    </xf>
    <xf numFmtId="203" fontId="11" fillId="7" borderId="0" xfId="2" applyNumberFormat="1" applyFont="1" applyFill="1" applyBorder="1" applyAlignment="1">
      <alignment horizontal="right" vertical="center"/>
    </xf>
    <xf numFmtId="0" fontId="6" fillId="7" borderId="0" xfId="0" applyFont="1" applyFill="1" applyBorder="1" applyAlignment="1">
      <alignment horizontal="center" vertical="center"/>
    </xf>
    <xf numFmtId="192" fontId="11" fillId="7" borderId="0" xfId="2" applyNumberFormat="1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left"/>
    </xf>
    <xf numFmtId="192" fontId="11" fillId="5" borderId="0" xfId="2" applyNumberFormat="1" applyFont="1" applyFill="1" applyBorder="1" applyAlignment="1">
      <alignment horizontal="right" vertical="center"/>
    </xf>
    <xf numFmtId="192" fontId="11" fillId="5" borderId="0" xfId="0" applyNumberFormat="1" applyFont="1" applyFill="1" applyBorder="1" applyAlignment="1">
      <alignment horizontal="right" vertical="center"/>
    </xf>
    <xf numFmtId="189" fontId="11" fillId="2" borderId="0" xfId="0" applyNumberFormat="1" applyFont="1" applyFill="1" applyBorder="1" applyAlignment="1">
      <alignment horizontal="right" vertical="center"/>
    </xf>
    <xf numFmtId="190" fontId="11" fillId="2" borderId="0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189" fontId="11" fillId="2" borderId="0" xfId="2" applyNumberFormat="1" applyFont="1" applyFill="1" applyBorder="1" applyAlignment="1">
      <alignment horizontal="right" vertical="center"/>
    </xf>
    <xf numFmtId="192" fontId="11" fillId="5" borderId="0" xfId="2" applyNumberFormat="1" applyFont="1" applyFill="1" applyBorder="1" applyAlignment="1">
      <alignment horizontal="center" vertical="center" shrinkToFit="1"/>
    </xf>
    <xf numFmtId="199" fontId="11" fillId="5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1.png"/><Relationship Id="rId4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5" Type="http://schemas.openxmlformats.org/officeDocument/2006/relationships/image" Target="../media/image10.png"/><Relationship Id="rId4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1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34</xdr:row>
      <xdr:rowOff>114300</xdr:rowOff>
    </xdr:from>
    <xdr:ext cx="34332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F53D7A-D23C-C96D-195E-349C68E76CF6}"/>
            </a:ext>
          </a:extLst>
        </xdr:cNvPr>
        <xdr:cNvSpPr txBox="1"/>
      </xdr:nvSpPr>
      <xdr:spPr>
        <a:xfrm>
          <a:off x="76200" y="5963356"/>
          <a:ext cx="3433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</a:t>
          </a:r>
        </a:p>
      </xdr:txBody>
    </xdr:sp>
    <xdr:clientData/>
  </xdr:oneCellAnchor>
  <xdr:oneCellAnchor>
    <xdr:from>
      <xdr:col>0</xdr:col>
      <xdr:colOff>77259</xdr:colOff>
      <xdr:row>19</xdr:row>
      <xdr:rowOff>38100</xdr:rowOff>
    </xdr:from>
    <xdr:ext cx="356567" cy="32782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742ADF2-5CFD-27BF-F90E-A48E3448E3F4}"/>
            </a:ext>
          </a:extLst>
        </xdr:cNvPr>
        <xdr:cNvSpPr txBox="1"/>
      </xdr:nvSpPr>
      <xdr:spPr>
        <a:xfrm>
          <a:off x="77259" y="3340100"/>
          <a:ext cx="356567" cy="327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</a:t>
          </a:r>
        </a:p>
      </xdr:txBody>
    </xdr:sp>
    <xdr:clientData/>
  </xdr:oneCellAnchor>
  <xdr:oneCellAnchor>
    <xdr:from>
      <xdr:col>0</xdr:col>
      <xdr:colOff>133351</xdr:colOff>
      <xdr:row>20</xdr:row>
      <xdr:rowOff>154159</xdr:rowOff>
    </xdr:from>
    <xdr:ext cx="261413" cy="28198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E582753-83C8-E7B3-E7F6-70B617406B71}"/>
            </a:ext>
          </a:extLst>
        </xdr:cNvPr>
        <xdr:cNvSpPr txBox="1"/>
      </xdr:nvSpPr>
      <xdr:spPr>
        <a:xfrm>
          <a:off x="133351" y="3681584"/>
          <a:ext cx="26141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</a:t>
          </a:r>
        </a:p>
      </xdr:txBody>
    </xdr:sp>
    <xdr:clientData/>
  </xdr:oneCellAnchor>
  <xdr:oneCellAnchor>
    <xdr:from>
      <xdr:col>0</xdr:col>
      <xdr:colOff>104775</xdr:colOff>
      <xdr:row>23</xdr:row>
      <xdr:rowOff>152400</xdr:rowOff>
    </xdr:from>
    <xdr:ext cx="317216" cy="29620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00F8BA2-71D0-6D59-A22D-19EF6CBF00E6}"/>
            </a:ext>
          </a:extLst>
        </xdr:cNvPr>
        <xdr:cNvSpPr txBox="1"/>
      </xdr:nvSpPr>
      <xdr:spPr>
        <a:xfrm>
          <a:off x="95250" y="4184650"/>
          <a:ext cx="349469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</a:t>
          </a:r>
        </a:p>
      </xdr:txBody>
    </xdr:sp>
    <xdr:clientData/>
  </xdr:oneCellAnchor>
  <xdr:oneCellAnchor>
    <xdr:from>
      <xdr:col>0</xdr:col>
      <xdr:colOff>83609</xdr:colOff>
      <xdr:row>22</xdr:row>
      <xdr:rowOff>152400</xdr:rowOff>
    </xdr:from>
    <xdr:ext cx="343425" cy="29620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7101DCF-1DEF-8C0D-F6C0-BAF3B1306181}"/>
            </a:ext>
          </a:extLst>
        </xdr:cNvPr>
        <xdr:cNvSpPr txBox="1"/>
      </xdr:nvSpPr>
      <xdr:spPr>
        <a:xfrm>
          <a:off x="83609" y="3962400"/>
          <a:ext cx="343425" cy="296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</a:t>
          </a:r>
        </a:p>
      </xdr:txBody>
    </xdr:sp>
    <xdr:clientData/>
  </xdr:oneCellAnchor>
  <xdr:oneCellAnchor>
    <xdr:from>
      <xdr:col>0</xdr:col>
      <xdr:colOff>85725</xdr:colOff>
      <xdr:row>21</xdr:row>
      <xdr:rowOff>168291</xdr:rowOff>
    </xdr:from>
    <xdr:ext cx="363162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E78C2CD-AD91-174B-8B36-50286B56BD46}"/>
            </a:ext>
          </a:extLst>
        </xdr:cNvPr>
        <xdr:cNvSpPr txBox="1"/>
      </xdr:nvSpPr>
      <xdr:spPr>
        <a:xfrm>
          <a:off x="85725" y="3816013"/>
          <a:ext cx="363162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</a:t>
          </a:r>
        </a:p>
      </xdr:txBody>
    </xdr:sp>
    <xdr:clientData/>
  </xdr:oneCellAnchor>
  <xdr:oneCellAnchor>
    <xdr:from>
      <xdr:col>6</xdr:col>
      <xdr:colOff>149225</xdr:colOff>
      <xdr:row>23</xdr:row>
      <xdr:rowOff>132293</xdr:rowOff>
    </xdr:from>
    <xdr:ext cx="343890" cy="30817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0E13D0C-5F63-FAAB-E0AD-65A4B0B1A175}"/>
            </a:ext>
          </a:extLst>
        </xdr:cNvPr>
        <xdr:cNvSpPr txBox="1"/>
      </xdr:nvSpPr>
      <xdr:spPr>
        <a:xfrm>
          <a:off x="6456892" y="4111626"/>
          <a:ext cx="343890" cy="3081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</a:t>
          </a:r>
        </a:p>
      </xdr:txBody>
    </xdr:sp>
    <xdr:clientData/>
  </xdr:oneCellAnchor>
  <xdr:oneCellAnchor>
    <xdr:from>
      <xdr:col>6</xdr:col>
      <xdr:colOff>120650</xdr:colOff>
      <xdr:row>3</xdr:row>
      <xdr:rowOff>132293</xdr:rowOff>
    </xdr:from>
    <xdr:ext cx="337206" cy="30843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467829A-CD36-F07A-769C-CBA67EFCD3FB}"/>
            </a:ext>
          </a:extLst>
        </xdr:cNvPr>
        <xdr:cNvSpPr txBox="1"/>
      </xdr:nvSpPr>
      <xdr:spPr>
        <a:xfrm>
          <a:off x="6428317" y="724960"/>
          <a:ext cx="337206" cy="3084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</a:t>
          </a:r>
        </a:p>
      </xdr:txBody>
    </xdr:sp>
    <xdr:clientData/>
  </xdr:oneCellAnchor>
  <xdr:oneCellAnchor>
    <xdr:from>
      <xdr:col>0</xdr:col>
      <xdr:colOff>76200</xdr:colOff>
      <xdr:row>8</xdr:row>
      <xdr:rowOff>130175</xdr:rowOff>
    </xdr:from>
    <xdr:ext cx="355815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FEBC6F-0D68-5C5F-5BA1-D4CA5EC1FD8B}"/>
            </a:ext>
          </a:extLst>
        </xdr:cNvPr>
        <xdr:cNvSpPr txBox="1"/>
      </xdr:nvSpPr>
      <xdr:spPr>
        <a:xfrm>
          <a:off x="76200" y="1576564"/>
          <a:ext cx="355815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49866</xdr:colOff>
      <xdr:row>5</xdr:row>
      <xdr:rowOff>247277</xdr:rowOff>
    </xdr:from>
    <xdr:ext cx="3252309" cy="4267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A5C404-8AE2-E787-7986-E42A02649DA7}"/>
            </a:ext>
          </a:extLst>
        </xdr:cNvPr>
        <xdr:cNvSpPr txBox="1"/>
      </xdr:nvSpPr>
      <xdr:spPr>
        <a:xfrm>
          <a:off x="5207747" y="1422401"/>
          <a:ext cx="3234017" cy="43997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 b="1">
              <a:solidFill>
                <a:srgbClr val="FF0000"/>
              </a:solidFill>
            </a:rPr>
            <a:t>←この条件下以外では、このシートは使えません！</a:t>
          </a:r>
          <a:endParaRPr kumimoji="1" lang="en-US" altLang="ja-JP" sz="1100" b="1">
            <a:solidFill>
              <a:srgbClr val="FF0000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solidFill>
                <a:srgbClr val="FF0000"/>
              </a:solidFill>
            </a:rPr>
            <a:t>　　これを超える場合は別途相談のこと！</a:t>
          </a:r>
        </a:p>
      </xdr:txBody>
    </xdr:sp>
    <xdr:clientData/>
  </xdr:oneCellAnchor>
  <xdr:twoCellAnchor>
    <xdr:from>
      <xdr:col>6</xdr:col>
      <xdr:colOff>38100</xdr:colOff>
      <xdr:row>46</xdr:row>
      <xdr:rowOff>133350</xdr:rowOff>
    </xdr:from>
    <xdr:to>
      <xdr:col>7</xdr:col>
      <xdr:colOff>603250</xdr:colOff>
      <xdr:row>46</xdr:row>
      <xdr:rowOff>133350</xdr:rowOff>
    </xdr:to>
    <xdr:cxnSp macro="">
      <xdr:nvCxnSpPr>
        <xdr:cNvPr id="36657" name="直線矢印コネクタ 2">
          <a:extLst>
            <a:ext uri="{FF2B5EF4-FFF2-40B4-BE49-F238E27FC236}">
              <a16:creationId xmlns:a16="http://schemas.microsoft.com/office/drawing/2014/main" id="{33EED0D9-EAC3-26CA-0491-CBA77C4E53EC}"/>
            </a:ext>
          </a:extLst>
        </xdr:cNvPr>
        <xdr:cNvCxnSpPr>
          <a:cxnSpLocks noChangeShapeType="1"/>
        </xdr:cNvCxnSpPr>
      </xdr:nvCxnSpPr>
      <xdr:spPr bwMode="auto">
        <a:xfrm>
          <a:off x="4578350" y="11734800"/>
          <a:ext cx="1174750" cy="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7</xdr:col>
      <xdr:colOff>57899</xdr:colOff>
      <xdr:row>7</xdr:row>
      <xdr:rowOff>248583</xdr:rowOff>
    </xdr:from>
    <xdr:ext cx="3254752" cy="44772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D64B499-D5D5-1B0B-10E5-860492250D48}"/>
            </a:ext>
          </a:extLst>
        </xdr:cNvPr>
        <xdr:cNvSpPr txBox="1"/>
      </xdr:nvSpPr>
      <xdr:spPr>
        <a:xfrm>
          <a:off x="5212605" y="1947582"/>
          <a:ext cx="3236632" cy="442429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←この条件下以外では、このシートは使えません！</a:t>
          </a:r>
          <a:endParaRPr kumimoji="1" lang="en-US" altLang="ja-JP" sz="1100" b="1">
            <a:solidFill>
              <a:srgbClr val="FF0000"/>
            </a:solidFill>
          </a:endParaRPr>
        </a:p>
        <a:p>
          <a:pPr>
            <a:lnSpc>
              <a:spcPts val="1100"/>
            </a:lnSpc>
          </a:pPr>
          <a:r>
            <a:rPr kumimoji="1" lang="ja-JP" altLang="en-US" sz="1100" b="1">
              <a:solidFill>
                <a:srgbClr val="FF0000"/>
              </a:solidFill>
            </a:rPr>
            <a:t>　　これを超える場合は別途相談のこと！</a:t>
          </a:r>
        </a:p>
      </xdr:txBody>
    </xdr:sp>
    <xdr:clientData/>
  </xdr:oneCellAnchor>
  <xdr:twoCellAnchor editAs="oneCell">
    <xdr:from>
      <xdr:col>1</xdr:col>
      <xdr:colOff>152400</xdr:colOff>
      <xdr:row>81</xdr:row>
      <xdr:rowOff>12700</xdr:rowOff>
    </xdr:from>
    <xdr:to>
      <xdr:col>7</xdr:col>
      <xdr:colOff>450850</xdr:colOff>
      <xdr:row>91</xdr:row>
      <xdr:rowOff>247650</xdr:rowOff>
    </xdr:to>
    <xdr:pic>
      <xdr:nvPicPr>
        <xdr:cNvPr id="36659" name="図 5">
          <a:extLst>
            <a:ext uri="{FF2B5EF4-FFF2-40B4-BE49-F238E27FC236}">
              <a16:creationId xmlns:a16="http://schemas.microsoft.com/office/drawing/2014/main" id="{D20B3773-5650-E522-21C4-960291396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" y="20504150"/>
          <a:ext cx="5264150" cy="277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241300</xdr:colOff>
      <xdr:row>93</xdr:row>
      <xdr:rowOff>76200</xdr:rowOff>
    </xdr:from>
    <xdr:to>
      <xdr:col>5</xdr:col>
      <xdr:colOff>431800</xdr:colOff>
      <xdr:row>98</xdr:row>
      <xdr:rowOff>381000</xdr:rowOff>
    </xdr:to>
    <xdr:grpSp>
      <xdr:nvGrpSpPr>
        <xdr:cNvPr id="36660" name="グループ化 6">
          <a:extLst>
            <a:ext uri="{FF2B5EF4-FFF2-40B4-BE49-F238E27FC236}">
              <a16:creationId xmlns:a16="http://schemas.microsoft.com/office/drawing/2014/main" id="{4790EA17-FF9E-8914-E0A3-A4131CC05A77}"/>
            </a:ext>
          </a:extLst>
        </xdr:cNvPr>
        <xdr:cNvGrpSpPr>
          <a:grpSpLocks/>
        </xdr:cNvGrpSpPr>
      </xdr:nvGrpSpPr>
      <xdr:grpSpPr bwMode="auto">
        <a:xfrm>
          <a:off x="444500" y="23622000"/>
          <a:ext cx="4292600" cy="1441450"/>
          <a:chOff x="361016" y="19259549"/>
          <a:chExt cx="5144434" cy="2009776"/>
        </a:xfrm>
      </xdr:grpSpPr>
      <xdr:grpSp>
        <xdr:nvGrpSpPr>
          <xdr:cNvPr id="36666" name="グループ化 7">
            <a:extLst>
              <a:ext uri="{FF2B5EF4-FFF2-40B4-BE49-F238E27FC236}">
                <a16:creationId xmlns:a16="http://schemas.microsoft.com/office/drawing/2014/main" id="{36796454-6C3D-5023-566F-D0DC8D3BCCEE}"/>
              </a:ext>
            </a:extLst>
          </xdr:cNvPr>
          <xdr:cNvGrpSpPr>
            <a:grpSpLocks/>
          </xdr:cNvGrpSpPr>
        </xdr:nvGrpSpPr>
        <xdr:grpSpPr bwMode="auto">
          <a:xfrm>
            <a:off x="364191" y="19660348"/>
            <a:ext cx="5138084" cy="1605802"/>
            <a:chOff x="259416" y="19041223"/>
            <a:chExt cx="4320802" cy="1295824"/>
          </a:xfrm>
        </xdr:grpSpPr>
        <xdr:pic>
          <xdr:nvPicPr>
            <xdr:cNvPr id="36668" name="図 9">
              <a:extLst>
                <a:ext uri="{FF2B5EF4-FFF2-40B4-BE49-F238E27FC236}">
                  <a16:creationId xmlns:a16="http://schemas.microsoft.com/office/drawing/2014/main" id="{6FEDCF2A-69DB-5F63-B49E-C116BD7EAF2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9416" y="19041223"/>
              <a:ext cx="4320802" cy="129582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22715A1E-FD28-F759-02B6-178B8CEF375B}"/>
                </a:ext>
              </a:extLst>
            </xdr:cNvPr>
            <xdr:cNvSpPr/>
          </xdr:nvSpPr>
          <xdr:spPr bwMode="auto">
            <a:xfrm>
              <a:off x="1638320" y="19685192"/>
              <a:ext cx="2874791" cy="312982"/>
            </a:xfrm>
            <a:prstGeom prst="rect">
              <a:avLst/>
            </a:prstGeom>
            <a:noFill/>
            <a:ln w="38100" cap="flat" cmpd="sng" algn="ctr">
              <a:solidFill>
                <a:srgbClr val="FF0000">
                  <a:alpha val="50196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正方形/長方形 11">
              <a:extLst>
                <a:ext uri="{FF2B5EF4-FFF2-40B4-BE49-F238E27FC236}">
                  <a16:creationId xmlns:a16="http://schemas.microsoft.com/office/drawing/2014/main" id="{BC0990A4-DE13-BC09-8788-9843DA873AE5}"/>
                </a:ext>
              </a:extLst>
            </xdr:cNvPr>
            <xdr:cNvSpPr/>
          </xdr:nvSpPr>
          <xdr:spPr bwMode="auto">
            <a:xfrm>
              <a:off x="1645298" y="19471795"/>
              <a:ext cx="2874791" cy="177831"/>
            </a:xfrm>
            <a:prstGeom prst="rect">
              <a:avLst/>
            </a:prstGeom>
            <a:noFill/>
            <a:ln w="38100" cap="flat" cmpd="sng" algn="ctr">
              <a:solidFill>
                <a:srgbClr val="FF0000">
                  <a:alpha val="50196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kumimoji="1" lang="ja-JP" altLang="en-US" sz="1100"/>
            </a:p>
          </xdr:txBody>
        </xdr:sp>
      </xdr:grpSp>
      <xdr:pic>
        <xdr:nvPicPr>
          <xdr:cNvPr id="36667" name="図 8">
            <a:extLst>
              <a:ext uri="{FF2B5EF4-FFF2-40B4-BE49-F238E27FC236}">
                <a16:creationId xmlns:a16="http://schemas.microsoft.com/office/drawing/2014/main" id="{46A50717-8CF8-CCE6-E338-38A708B6AEC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675" y="19259549"/>
            <a:ext cx="4980424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50800</xdr:colOff>
      <xdr:row>63</xdr:row>
      <xdr:rowOff>361950</xdr:rowOff>
    </xdr:from>
    <xdr:to>
      <xdr:col>10</xdr:col>
      <xdr:colOff>107950</xdr:colOff>
      <xdr:row>78</xdr:row>
      <xdr:rowOff>336550</xdr:rowOff>
    </xdr:to>
    <xdr:grpSp>
      <xdr:nvGrpSpPr>
        <xdr:cNvPr id="36661" name="グループ化 14">
          <a:extLst>
            <a:ext uri="{FF2B5EF4-FFF2-40B4-BE49-F238E27FC236}">
              <a16:creationId xmlns:a16="http://schemas.microsoft.com/office/drawing/2014/main" id="{4FA4CA74-D160-613C-5C68-9400188DA00D}"/>
            </a:ext>
          </a:extLst>
        </xdr:cNvPr>
        <xdr:cNvGrpSpPr>
          <a:grpSpLocks/>
        </xdr:cNvGrpSpPr>
      </xdr:nvGrpSpPr>
      <xdr:grpSpPr bwMode="auto">
        <a:xfrm>
          <a:off x="50800" y="16173450"/>
          <a:ext cx="8921750" cy="3813175"/>
          <a:chOff x="29822" y="16386926"/>
          <a:chExt cx="8095239" cy="3848792"/>
        </a:xfrm>
      </xdr:grpSpPr>
      <xdr:pic>
        <xdr:nvPicPr>
          <xdr:cNvPr id="36663" name="図 2">
            <a:extLst>
              <a:ext uri="{FF2B5EF4-FFF2-40B4-BE49-F238E27FC236}">
                <a16:creationId xmlns:a16="http://schemas.microsoft.com/office/drawing/2014/main" id="{CC0A52CE-C2B9-B4A4-17FD-677008C201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60000">
            <a:off x="29822" y="16386926"/>
            <a:ext cx="8095239" cy="38487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63F5A293-FBB5-059A-C278-E4F2D996D912}"/>
              </a:ext>
            </a:extLst>
          </xdr:cNvPr>
          <xdr:cNvSpPr/>
        </xdr:nvSpPr>
        <xdr:spPr bwMode="auto">
          <a:xfrm>
            <a:off x="1722118" y="18664128"/>
            <a:ext cx="1932249" cy="1116150"/>
          </a:xfrm>
          <a:prstGeom prst="rect">
            <a:avLst/>
          </a:prstGeom>
          <a:noFill/>
          <a:ln w="38100" cap="flat" cmpd="sng" algn="ctr">
            <a:solidFill>
              <a:srgbClr val="FF0000">
                <a:alpha val="50196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F4D310DF-89DE-5A0B-FCB0-3A47B0C2A733}"/>
              </a:ext>
            </a:extLst>
          </xdr:cNvPr>
          <xdr:cNvSpPr/>
        </xdr:nvSpPr>
        <xdr:spPr bwMode="auto">
          <a:xfrm>
            <a:off x="1715804" y="18478103"/>
            <a:ext cx="6137732" cy="205269"/>
          </a:xfrm>
          <a:prstGeom prst="rect">
            <a:avLst/>
          </a:prstGeom>
          <a:noFill/>
          <a:ln w="38100" cap="flat" cmpd="sng" algn="ctr">
            <a:solidFill>
              <a:srgbClr val="FF0000">
                <a:alpha val="50196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5</xdr:col>
      <xdr:colOff>47999</xdr:colOff>
      <xdr:row>45</xdr:row>
      <xdr:rowOff>59765</xdr:rowOff>
    </xdr:from>
    <xdr:ext cx="2042423" cy="30078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24DC63-C0A3-6B53-B78F-5E717825F518}"/>
            </a:ext>
          </a:extLst>
        </xdr:cNvPr>
        <xdr:cNvSpPr txBox="1"/>
      </xdr:nvSpPr>
      <xdr:spPr>
        <a:xfrm>
          <a:off x="3962774" y="11394515"/>
          <a:ext cx="1978323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（材料構成から平均空隙率）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4</xdr:row>
      <xdr:rowOff>73025</xdr:rowOff>
    </xdr:from>
    <xdr:to>
      <xdr:col>19</xdr:col>
      <xdr:colOff>120</xdr:colOff>
      <xdr:row>8</xdr:row>
      <xdr:rowOff>168678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0BFBC65-E958-9CAA-C126-1C2EC0E49019}"/>
            </a:ext>
          </a:extLst>
        </xdr:cNvPr>
        <xdr:cNvSpPr/>
      </xdr:nvSpPr>
      <xdr:spPr bwMode="auto">
        <a:xfrm>
          <a:off x="6162675" y="377825"/>
          <a:ext cx="723986" cy="723900"/>
        </a:xfrm>
        <a:prstGeom prst="ellipse">
          <a:avLst/>
        </a:prstGeom>
        <a:solidFill>
          <a:srgbClr val="00FFFF"/>
        </a:solidFill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184151</xdr:colOff>
      <xdr:row>4</xdr:row>
      <xdr:rowOff>130175</xdr:rowOff>
    </xdr:from>
    <xdr:ext cx="808410" cy="60882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32AF62-715C-5665-7C43-339146D2D5C6}"/>
            </a:ext>
          </a:extLst>
        </xdr:cNvPr>
        <xdr:cNvSpPr txBox="1"/>
      </xdr:nvSpPr>
      <xdr:spPr>
        <a:xfrm>
          <a:off x="4925484" y="863953"/>
          <a:ext cx="808410" cy="608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800"/>
            <a:t>※</a:t>
          </a:r>
          <a:r>
            <a:rPr kumimoji="1" lang="ja-JP" altLang="en-US" sz="800"/>
            <a:t>排水施設</a:t>
          </a:r>
          <a:endParaRPr kumimoji="1" lang="en-US" altLang="ja-JP" sz="800"/>
        </a:p>
        <a:p>
          <a:pPr algn="l"/>
          <a:r>
            <a:rPr kumimoji="1" lang="ja-JP" altLang="en-US" sz="800"/>
            <a:t>の内空断面</a:t>
          </a:r>
          <a:endParaRPr kumimoji="1" lang="en-US" altLang="ja-JP" sz="800"/>
        </a:p>
        <a:p>
          <a:pPr algn="l"/>
          <a:r>
            <a:rPr kumimoji="1" lang="en-US" altLang="ja-JP" sz="800"/>
            <a:t>(</a:t>
          </a:r>
          <a:r>
            <a:rPr kumimoji="1" lang="ja-JP" altLang="en-US" sz="800"/>
            <a:t>蓋の厚さは</a:t>
          </a:r>
          <a:endParaRPr kumimoji="1" lang="en-US" altLang="ja-JP" sz="800"/>
        </a:p>
        <a:p>
          <a:pPr algn="l">
            <a:lnSpc>
              <a:spcPts val="900"/>
            </a:lnSpc>
          </a:pPr>
          <a:r>
            <a:rPr kumimoji="1" lang="ja-JP" altLang="en-US" sz="800"/>
            <a:t>含まない</a:t>
          </a:r>
          <a:r>
            <a:rPr kumimoji="1" lang="en-US" altLang="ja-JP" sz="800"/>
            <a:t>)</a:t>
          </a:r>
          <a:endParaRPr kumimoji="1" lang="ja-JP" altLang="en-US" sz="8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167217</xdr:colOff>
      <xdr:row>10</xdr:row>
      <xdr:rowOff>169333</xdr:rowOff>
    </xdr:from>
    <xdr:to>
      <xdr:col>15</xdr:col>
      <xdr:colOff>165104</xdr:colOff>
      <xdr:row>12</xdr:row>
      <xdr:rowOff>228367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A055C2-8407-D629-BD2B-4174C23BB636}"/>
            </a:ext>
          </a:extLst>
        </xdr:cNvPr>
        <xdr:cNvSpPr/>
      </xdr:nvSpPr>
      <xdr:spPr bwMode="auto">
        <a:xfrm>
          <a:off x="160867" y="2709333"/>
          <a:ext cx="5655733" cy="533400"/>
        </a:xfrm>
        <a:prstGeom prst="rect">
          <a:avLst/>
        </a:prstGeom>
        <a:solidFill>
          <a:srgbClr val="FFCCFF">
            <a:alpha val="50196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6</xdr:row>
      <xdr:rowOff>241300</xdr:rowOff>
    </xdr:from>
    <xdr:to>
      <xdr:col>23</xdr:col>
      <xdr:colOff>0</xdr:colOff>
      <xdr:row>24</xdr:row>
      <xdr:rowOff>76200</xdr:rowOff>
    </xdr:to>
    <xdr:grpSp>
      <xdr:nvGrpSpPr>
        <xdr:cNvPr id="41443" name="Group 66">
          <a:extLst>
            <a:ext uri="{FF2B5EF4-FFF2-40B4-BE49-F238E27FC236}">
              <a16:creationId xmlns:a16="http://schemas.microsoft.com/office/drawing/2014/main" id="{96591873-9610-FA4E-CFE7-D4F3501DE033}"/>
            </a:ext>
          </a:extLst>
        </xdr:cNvPr>
        <xdr:cNvGrpSpPr>
          <a:grpSpLocks/>
        </xdr:cNvGrpSpPr>
      </xdr:nvGrpSpPr>
      <xdr:grpSpPr bwMode="auto">
        <a:xfrm>
          <a:off x="0" y="1854200"/>
          <a:ext cx="8890000" cy="4178300"/>
          <a:chOff x="29" y="172"/>
          <a:chExt cx="646" cy="289"/>
        </a:xfrm>
      </xdr:grpSpPr>
      <xdr:sp macro="" textlink="">
        <xdr:nvSpPr>
          <xdr:cNvPr id="41449" name="Rectangle 11">
            <a:extLst>
              <a:ext uri="{FF2B5EF4-FFF2-40B4-BE49-F238E27FC236}">
                <a16:creationId xmlns:a16="http://schemas.microsoft.com/office/drawing/2014/main" id="{5F415AD2-603C-49AF-4AB2-3C6E67185E83}"/>
              </a:ext>
            </a:extLst>
          </xdr:cNvPr>
          <xdr:cNvSpPr>
            <a:spLocks noChangeArrowheads="1"/>
          </xdr:cNvSpPr>
        </xdr:nvSpPr>
        <xdr:spPr bwMode="auto">
          <a:xfrm>
            <a:off x="86" y="253"/>
            <a:ext cx="368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prstDash val="dash"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450" name="Rectangle 12">
            <a:extLst>
              <a:ext uri="{FF2B5EF4-FFF2-40B4-BE49-F238E27FC236}">
                <a16:creationId xmlns:a16="http://schemas.microsoft.com/office/drawing/2014/main" id="{0D48E63C-B04C-8222-2448-31694D6DDA08}"/>
              </a:ext>
            </a:extLst>
          </xdr:cNvPr>
          <xdr:cNvSpPr>
            <a:spLocks noChangeArrowheads="1"/>
          </xdr:cNvSpPr>
        </xdr:nvSpPr>
        <xdr:spPr bwMode="auto">
          <a:xfrm>
            <a:off x="81" y="275"/>
            <a:ext cx="372" cy="1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14">
            <a:extLst>
              <a:ext uri="{FF2B5EF4-FFF2-40B4-BE49-F238E27FC236}">
                <a16:creationId xmlns:a16="http://schemas.microsoft.com/office/drawing/2014/main" id="{78390F0A-8CA3-E37C-09AB-3B629DEC4202}"/>
              </a:ext>
            </a:extLst>
          </xdr:cNvPr>
          <xdr:cNvSpPr>
            <a:spLocks noChangeArrowheads="1"/>
          </xdr:cNvSpPr>
        </xdr:nvSpPr>
        <xdr:spPr bwMode="auto">
          <a:xfrm>
            <a:off x="135" y="401"/>
            <a:ext cx="99" cy="3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浄化槽放流水</a:t>
            </a:r>
            <a:endPara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ctr" rtl="0">
              <a:lnSpc>
                <a:spcPts val="1000"/>
              </a:lnSpc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換算面積</a:t>
            </a:r>
          </a:p>
        </xdr:txBody>
      </xdr:sp>
      <xdr:sp macro="" textlink="">
        <xdr:nvSpPr>
          <xdr:cNvPr id="41452" name="Rectangle 16">
            <a:extLst>
              <a:ext uri="{FF2B5EF4-FFF2-40B4-BE49-F238E27FC236}">
                <a16:creationId xmlns:a16="http://schemas.microsoft.com/office/drawing/2014/main" id="{1586E25D-339C-BFCB-EDA1-34617902644C}"/>
              </a:ext>
            </a:extLst>
          </xdr:cNvPr>
          <xdr:cNvSpPr>
            <a:spLocks noChangeArrowheads="1"/>
          </xdr:cNvSpPr>
        </xdr:nvSpPr>
        <xdr:spPr bwMode="auto">
          <a:xfrm>
            <a:off x="32" y="272"/>
            <a:ext cx="466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Rectangle 9">
            <a:extLst>
              <a:ext uri="{FF2B5EF4-FFF2-40B4-BE49-F238E27FC236}">
                <a16:creationId xmlns:a16="http://schemas.microsoft.com/office/drawing/2014/main" id="{1811C0E4-EF87-C2C1-B558-CF96AAA66FC7}"/>
              </a:ext>
            </a:extLst>
          </xdr:cNvPr>
          <xdr:cNvSpPr>
            <a:spLocks noChangeArrowheads="1"/>
          </xdr:cNvSpPr>
        </xdr:nvSpPr>
        <xdr:spPr bwMode="auto">
          <a:xfrm>
            <a:off x="72" y="184"/>
            <a:ext cx="21" cy="2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水路</a:t>
            </a:r>
          </a:p>
        </xdr:txBody>
      </xdr:sp>
      <xdr:sp macro="" textlink="">
        <xdr:nvSpPr>
          <xdr:cNvPr id="8" name="Rectangle 15">
            <a:extLst>
              <a:ext uri="{FF2B5EF4-FFF2-40B4-BE49-F238E27FC236}">
                <a16:creationId xmlns:a16="http://schemas.microsoft.com/office/drawing/2014/main" id="{57A9FC0B-AC0A-29CE-333F-8C7720C60202}"/>
              </a:ext>
            </a:extLst>
          </xdr:cNvPr>
          <xdr:cNvSpPr>
            <a:spLocks noChangeArrowheads="1"/>
          </xdr:cNvSpPr>
        </xdr:nvSpPr>
        <xdr:spPr bwMode="auto">
          <a:xfrm>
            <a:off x="438" y="182"/>
            <a:ext cx="22" cy="2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水路</a:t>
            </a:r>
          </a:p>
        </xdr:txBody>
      </xdr:sp>
      <xdr:sp macro="" textlink="">
        <xdr:nvSpPr>
          <xdr:cNvPr id="41455" name="Rectangle 22">
            <a:extLst>
              <a:ext uri="{FF2B5EF4-FFF2-40B4-BE49-F238E27FC236}">
                <a16:creationId xmlns:a16="http://schemas.microsoft.com/office/drawing/2014/main" id="{38D49EA5-08E2-CFF2-3533-6130058DA01D}"/>
              </a:ext>
            </a:extLst>
          </xdr:cNvPr>
          <xdr:cNvSpPr>
            <a:spLocks noChangeArrowheads="1"/>
          </xdr:cNvSpPr>
        </xdr:nvSpPr>
        <xdr:spPr bwMode="auto">
          <a:xfrm>
            <a:off x="60" y="173"/>
            <a:ext cx="44" cy="1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456" name="Rectangle 23">
            <a:extLst>
              <a:ext uri="{FF2B5EF4-FFF2-40B4-BE49-F238E27FC236}">
                <a16:creationId xmlns:a16="http://schemas.microsoft.com/office/drawing/2014/main" id="{DF51568D-5E49-C979-B0B1-87089CB708A9}"/>
              </a:ext>
            </a:extLst>
          </xdr:cNvPr>
          <xdr:cNvSpPr>
            <a:spLocks noChangeArrowheads="1"/>
          </xdr:cNvSpPr>
        </xdr:nvSpPr>
        <xdr:spPr bwMode="auto">
          <a:xfrm>
            <a:off x="428" y="172"/>
            <a:ext cx="44" cy="1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457" name="Rectangle 24">
            <a:extLst>
              <a:ext uri="{FF2B5EF4-FFF2-40B4-BE49-F238E27FC236}">
                <a16:creationId xmlns:a16="http://schemas.microsoft.com/office/drawing/2014/main" id="{698D0C28-DFA6-F0E2-389B-6E03FABC98B7}"/>
              </a:ext>
            </a:extLst>
          </xdr:cNvPr>
          <xdr:cNvSpPr>
            <a:spLocks noChangeArrowheads="1"/>
          </xdr:cNvSpPr>
        </xdr:nvSpPr>
        <xdr:spPr bwMode="auto">
          <a:xfrm>
            <a:off x="60" y="446"/>
            <a:ext cx="411" cy="1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458" name="Line 27">
            <a:extLst>
              <a:ext uri="{FF2B5EF4-FFF2-40B4-BE49-F238E27FC236}">
                <a16:creationId xmlns:a16="http://schemas.microsoft.com/office/drawing/2014/main" id="{3CD9CEE4-FF0A-6841-8E24-669C96BF7915}"/>
              </a:ext>
            </a:extLst>
          </xdr:cNvPr>
          <xdr:cNvSpPr>
            <a:spLocks noChangeShapeType="1"/>
          </xdr:cNvSpPr>
        </xdr:nvSpPr>
        <xdr:spPr bwMode="auto">
          <a:xfrm>
            <a:off x="37" y="253"/>
            <a:ext cx="49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459" name="Line 28">
            <a:extLst>
              <a:ext uri="{FF2B5EF4-FFF2-40B4-BE49-F238E27FC236}">
                <a16:creationId xmlns:a16="http://schemas.microsoft.com/office/drawing/2014/main" id="{9DB4A99D-BBD5-4193-8FA8-581F529F0942}"/>
              </a:ext>
            </a:extLst>
          </xdr:cNvPr>
          <xdr:cNvSpPr>
            <a:spLocks noChangeShapeType="1"/>
          </xdr:cNvSpPr>
        </xdr:nvSpPr>
        <xdr:spPr bwMode="auto">
          <a:xfrm>
            <a:off x="36" y="234"/>
            <a:ext cx="54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460" name="Line 29">
            <a:extLst>
              <a:ext uri="{FF2B5EF4-FFF2-40B4-BE49-F238E27FC236}">
                <a16:creationId xmlns:a16="http://schemas.microsoft.com/office/drawing/2014/main" id="{89EB8B9B-83B0-FE21-7F4A-095D11B6947F}"/>
              </a:ext>
            </a:extLst>
          </xdr:cNvPr>
          <xdr:cNvSpPr>
            <a:spLocks noChangeShapeType="1"/>
          </xdr:cNvSpPr>
        </xdr:nvSpPr>
        <xdr:spPr bwMode="auto">
          <a:xfrm>
            <a:off x="36" y="272"/>
            <a:ext cx="54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Text Box 30">
            <a:extLst>
              <a:ext uri="{FF2B5EF4-FFF2-40B4-BE49-F238E27FC236}">
                <a16:creationId xmlns:a16="http://schemas.microsoft.com/office/drawing/2014/main" id="{726BF669-8076-7F7D-D1D4-1531BA8007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3" y="242"/>
            <a:ext cx="92" cy="1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Ｗ：道路敷地幅</a:t>
            </a:r>
          </a:p>
        </xdr:txBody>
      </xdr:sp>
      <xdr:sp macro="" textlink="">
        <xdr:nvSpPr>
          <xdr:cNvPr id="41462" name="Line 32">
            <a:extLst>
              <a:ext uri="{FF2B5EF4-FFF2-40B4-BE49-F238E27FC236}">
                <a16:creationId xmlns:a16="http://schemas.microsoft.com/office/drawing/2014/main" id="{78390757-E602-84B7-4948-2D9A3A22D70B}"/>
              </a:ext>
            </a:extLst>
          </xdr:cNvPr>
          <xdr:cNvSpPr>
            <a:spLocks noChangeShapeType="1"/>
          </xdr:cNvSpPr>
        </xdr:nvSpPr>
        <xdr:spPr bwMode="auto">
          <a:xfrm>
            <a:off x="93" y="198"/>
            <a:ext cx="34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sm" len="med"/>
            <a:tailEnd type="arrow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Text Box 33">
            <a:extLst>
              <a:ext uri="{FF2B5EF4-FFF2-40B4-BE49-F238E27FC236}">
                <a16:creationId xmlns:a16="http://schemas.microsoft.com/office/drawing/2014/main" id="{99DBE154-C4B4-723A-40FB-6ABDCA026E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9" y="179"/>
            <a:ext cx="143" cy="1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Ｌ：流末水路間隔</a:t>
            </a:r>
          </a:p>
        </xdr:txBody>
      </xdr:sp>
      <xdr:sp macro="" textlink="">
        <xdr:nvSpPr>
          <xdr:cNvPr id="41464" name="Line 34">
            <a:extLst>
              <a:ext uri="{FF2B5EF4-FFF2-40B4-BE49-F238E27FC236}">
                <a16:creationId xmlns:a16="http://schemas.microsoft.com/office/drawing/2014/main" id="{C54E0329-EAE8-DF88-A245-EE69071A7E06}"/>
              </a:ext>
            </a:extLst>
          </xdr:cNvPr>
          <xdr:cNvSpPr>
            <a:spLocks noChangeShapeType="1"/>
          </xdr:cNvSpPr>
        </xdr:nvSpPr>
        <xdr:spPr bwMode="auto">
          <a:xfrm>
            <a:off x="576" y="234"/>
            <a:ext cx="0" cy="3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sm" len="med"/>
            <a:tailEnd type="arrow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465" name="Line 35">
            <a:extLst>
              <a:ext uri="{FF2B5EF4-FFF2-40B4-BE49-F238E27FC236}">
                <a16:creationId xmlns:a16="http://schemas.microsoft.com/office/drawing/2014/main" id="{84ED8F8F-A5DC-CB89-B917-6B84A48B738C}"/>
              </a:ext>
            </a:extLst>
          </xdr:cNvPr>
          <xdr:cNvSpPr>
            <a:spLocks noChangeShapeType="1"/>
          </xdr:cNvSpPr>
        </xdr:nvSpPr>
        <xdr:spPr bwMode="auto">
          <a:xfrm>
            <a:off x="517" y="270"/>
            <a:ext cx="0" cy="2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sm" len="med"/>
            <a:tailEnd type="none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466" name="Line 36">
            <a:extLst>
              <a:ext uri="{FF2B5EF4-FFF2-40B4-BE49-F238E27FC236}">
                <a16:creationId xmlns:a16="http://schemas.microsoft.com/office/drawing/2014/main" id="{4136AA1B-FB38-723F-F76B-9AB5D0F219FE}"/>
              </a:ext>
            </a:extLst>
          </xdr:cNvPr>
          <xdr:cNvSpPr>
            <a:spLocks noChangeShapeType="1"/>
          </xdr:cNvSpPr>
        </xdr:nvSpPr>
        <xdr:spPr bwMode="auto">
          <a:xfrm>
            <a:off x="517" y="236"/>
            <a:ext cx="0" cy="1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sm" len="med"/>
            <a:tailEnd type="arrow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467" name="Line 37">
            <a:extLst>
              <a:ext uri="{FF2B5EF4-FFF2-40B4-BE49-F238E27FC236}">
                <a16:creationId xmlns:a16="http://schemas.microsoft.com/office/drawing/2014/main" id="{C4CE7A2E-9822-5234-93C1-F5C6EA960224}"/>
              </a:ext>
            </a:extLst>
          </xdr:cNvPr>
          <xdr:cNvSpPr>
            <a:spLocks noChangeShapeType="1"/>
          </xdr:cNvSpPr>
        </xdr:nvSpPr>
        <xdr:spPr bwMode="auto">
          <a:xfrm>
            <a:off x="517" y="253"/>
            <a:ext cx="0" cy="1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Text Box 38">
            <a:extLst>
              <a:ext uri="{FF2B5EF4-FFF2-40B4-BE49-F238E27FC236}">
                <a16:creationId xmlns:a16="http://schemas.microsoft.com/office/drawing/2014/main" id="{0AF9CC30-2FE2-6349-C222-4FE55237E0E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0" y="255"/>
            <a:ext cx="53" cy="1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Ｗ/２</a:t>
            </a:r>
          </a:p>
        </xdr:txBody>
      </xdr:sp>
      <xdr:sp macro="" textlink="">
        <xdr:nvSpPr>
          <xdr:cNvPr id="23" name="Rectangle 13">
            <a:extLst>
              <a:ext uri="{FF2B5EF4-FFF2-40B4-BE49-F238E27FC236}">
                <a16:creationId xmlns:a16="http://schemas.microsoft.com/office/drawing/2014/main" id="{DCE7B93E-F296-C200-DA3A-4F5A56BEBE74}"/>
              </a:ext>
            </a:extLst>
          </xdr:cNvPr>
          <xdr:cNvSpPr>
            <a:spLocks noChangeArrowheads="1"/>
          </xdr:cNvSpPr>
        </xdr:nvSpPr>
        <xdr:spPr bwMode="auto">
          <a:xfrm>
            <a:off x="135" y="280"/>
            <a:ext cx="99" cy="12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申請地</a:t>
            </a:r>
          </a:p>
        </xdr:txBody>
      </xdr:sp>
      <xdr:sp macro="" textlink="">
        <xdr:nvSpPr>
          <xdr:cNvPr id="41470" name="Line 39">
            <a:extLst>
              <a:ext uri="{FF2B5EF4-FFF2-40B4-BE49-F238E27FC236}">
                <a16:creationId xmlns:a16="http://schemas.microsoft.com/office/drawing/2014/main" id="{AEE21A0D-BB02-2028-499A-EF4306A0E7EE}"/>
              </a:ext>
            </a:extLst>
          </xdr:cNvPr>
          <xdr:cNvSpPr>
            <a:spLocks noChangeShapeType="1"/>
          </xdr:cNvSpPr>
        </xdr:nvSpPr>
        <xdr:spPr bwMode="auto">
          <a:xfrm>
            <a:off x="35" y="385"/>
            <a:ext cx="52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471" name="Line 40">
            <a:extLst>
              <a:ext uri="{FF2B5EF4-FFF2-40B4-BE49-F238E27FC236}">
                <a16:creationId xmlns:a16="http://schemas.microsoft.com/office/drawing/2014/main" id="{FA4CDE55-77F6-1A94-AA1D-3E89B2FBC9D2}"/>
              </a:ext>
            </a:extLst>
          </xdr:cNvPr>
          <xdr:cNvSpPr>
            <a:spLocks noChangeShapeType="1"/>
          </xdr:cNvSpPr>
        </xdr:nvSpPr>
        <xdr:spPr bwMode="auto">
          <a:xfrm>
            <a:off x="36" y="280"/>
            <a:ext cx="52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472" name="Line 41">
            <a:extLst>
              <a:ext uri="{FF2B5EF4-FFF2-40B4-BE49-F238E27FC236}">
                <a16:creationId xmlns:a16="http://schemas.microsoft.com/office/drawing/2014/main" id="{458F406B-49A9-19FD-97C7-8D8E2B63AA96}"/>
              </a:ext>
            </a:extLst>
          </xdr:cNvPr>
          <xdr:cNvSpPr>
            <a:spLocks noChangeShapeType="1"/>
          </xdr:cNvSpPr>
        </xdr:nvSpPr>
        <xdr:spPr bwMode="auto">
          <a:xfrm>
            <a:off x="544" y="279"/>
            <a:ext cx="0" cy="10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sm" len="med"/>
            <a:tailEnd type="arrow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Text Box 42">
            <a:extLst>
              <a:ext uri="{FF2B5EF4-FFF2-40B4-BE49-F238E27FC236}">
                <a16:creationId xmlns:a16="http://schemas.microsoft.com/office/drawing/2014/main" id="{478A2E56-8939-30F0-34CA-67EBF01516D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6" y="314"/>
            <a:ext cx="125" cy="1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Ｂ：集水可能な沿道幅</a:t>
            </a:r>
          </a:p>
        </xdr:txBody>
      </xdr:sp>
      <xdr:sp macro="" textlink="">
        <xdr:nvSpPr>
          <xdr:cNvPr id="41474" name="Line 43">
            <a:extLst>
              <a:ext uri="{FF2B5EF4-FFF2-40B4-BE49-F238E27FC236}">
                <a16:creationId xmlns:a16="http://schemas.microsoft.com/office/drawing/2014/main" id="{521AD6C6-F423-F9CA-8A2E-9C939F9FACCB}"/>
              </a:ext>
            </a:extLst>
          </xdr:cNvPr>
          <xdr:cNvSpPr>
            <a:spLocks noChangeShapeType="1"/>
          </xdr:cNvSpPr>
        </xdr:nvSpPr>
        <xdr:spPr bwMode="auto">
          <a:xfrm>
            <a:off x="240" y="401"/>
            <a:ext cx="2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475" name="Line 44">
            <a:extLst>
              <a:ext uri="{FF2B5EF4-FFF2-40B4-BE49-F238E27FC236}">
                <a16:creationId xmlns:a16="http://schemas.microsoft.com/office/drawing/2014/main" id="{C9E832D8-5407-2A0F-E4E8-C63911FA5821}"/>
              </a:ext>
            </a:extLst>
          </xdr:cNvPr>
          <xdr:cNvSpPr>
            <a:spLocks noChangeShapeType="1"/>
          </xdr:cNvSpPr>
        </xdr:nvSpPr>
        <xdr:spPr bwMode="auto">
          <a:xfrm>
            <a:off x="249" y="280"/>
            <a:ext cx="0" cy="12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sm" len="med"/>
            <a:tailEnd type="arrow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Text Box 45">
            <a:extLst>
              <a:ext uri="{FF2B5EF4-FFF2-40B4-BE49-F238E27FC236}">
                <a16:creationId xmlns:a16="http://schemas.microsoft.com/office/drawing/2014/main" id="{D103C8A8-1FF4-66D1-A005-006BD49490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1" y="326"/>
            <a:ext cx="95" cy="1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ｘ：申請地奥行</a:t>
            </a:r>
          </a:p>
        </xdr:txBody>
      </xdr:sp>
      <xdr:sp macro="" textlink="">
        <xdr:nvSpPr>
          <xdr:cNvPr id="41477" name="Rectangle 20">
            <a:extLst>
              <a:ext uri="{FF2B5EF4-FFF2-40B4-BE49-F238E27FC236}">
                <a16:creationId xmlns:a16="http://schemas.microsoft.com/office/drawing/2014/main" id="{8328C6B6-481F-29C4-5549-57A3F148714A}"/>
              </a:ext>
            </a:extLst>
          </xdr:cNvPr>
          <xdr:cNvSpPr>
            <a:spLocks noChangeArrowheads="1"/>
          </xdr:cNvSpPr>
        </xdr:nvSpPr>
        <xdr:spPr bwMode="auto">
          <a:xfrm>
            <a:off x="29" y="223"/>
            <a:ext cx="12" cy="18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478" name="Rectangle 21">
            <a:extLst>
              <a:ext uri="{FF2B5EF4-FFF2-40B4-BE49-F238E27FC236}">
                <a16:creationId xmlns:a16="http://schemas.microsoft.com/office/drawing/2014/main" id="{5D23612C-4267-7755-E792-410371526BF4}"/>
              </a:ext>
            </a:extLst>
          </xdr:cNvPr>
          <xdr:cNvSpPr>
            <a:spLocks noChangeArrowheads="1"/>
          </xdr:cNvSpPr>
        </xdr:nvSpPr>
        <xdr:spPr bwMode="auto">
          <a:xfrm>
            <a:off x="490" y="222"/>
            <a:ext cx="12" cy="17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479" name="Line 46">
            <a:extLst>
              <a:ext uri="{FF2B5EF4-FFF2-40B4-BE49-F238E27FC236}">
                <a16:creationId xmlns:a16="http://schemas.microsoft.com/office/drawing/2014/main" id="{27EBC8FA-FC06-881D-70A2-8239BF089FB2}"/>
              </a:ext>
            </a:extLst>
          </xdr:cNvPr>
          <xdr:cNvSpPr>
            <a:spLocks noChangeShapeType="1"/>
          </xdr:cNvSpPr>
        </xdr:nvSpPr>
        <xdr:spPr bwMode="auto">
          <a:xfrm>
            <a:off x="239" y="438"/>
            <a:ext cx="32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480" name="Line 47">
            <a:extLst>
              <a:ext uri="{FF2B5EF4-FFF2-40B4-BE49-F238E27FC236}">
                <a16:creationId xmlns:a16="http://schemas.microsoft.com/office/drawing/2014/main" id="{5B2D40A5-8574-BCE8-F33F-49E9562C8542}"/>
              </a:ext>
            </a:extLst>
          </xdr:cNvPr>
          <xdr:cNvSpPr>
            <a:spLocks noChangeShapeType="1"/>
          </xdr:cNvSpPr>
        </xdr:nvSpPr>
        <xdr:spPr bwMode="auto">
          <a:xfrm>
            <a:off x="249" y="400"/>
            <a:ext cx="0" cy="3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sm" len="med"/>
            <a:tailEnd type="arrow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39" name="Text Box 48">
            <a:extLst>
              <a:ext uri="{FF2B5EF4-FFF2-40B4-BE49-F238E27FC236}">
                <a16:creationId xmlns:a16="http://schemas.microsoft.com/office/drawing/2014/main" id="{33686986-9A8F-C8D0-DE64-08AE75FA8A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0" y="411"/>
            <a:ext cx="140" cy="1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α：放流による加算奥行</a:t>
            </a:r>
          </a:p>
        </xdr:txBody>
      </xdr:sp>
      <xdr:sp macro="" textlink="">
        <xdr:nvSpPr>
          <xdr:cNvPr id="41482" name="Line 49">
            <a:extLst>
              <a:ext uri="{FF2B5EF4-FFF2-40B4-BE49-F238E27FC236}">
                <a16:creationId xmlns:a16="http://schemas.microsoft.com/office/drawing/2014/main" id="{2DF9C4C4-A294-F766-9A37-3CFBA34CBCD7}"/>
              </a:ext>
            </a:extLst>
          </xdr:cNvPr>
          <xdr:cNvSpPr>
            <a:spLocks noChangeShapeType="1"/>
          </xdr:cNvSpPr>
        </xdr:nvSpPr>
        <xdr:spPr bwMode="auto">
          <a:xfrm>
            <a:off x="544" y="385"/>
            <a:ext cx="0" cy="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 type="arrow" w="sm" len="med"/>
            <a:tailEnd type="arrow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41" name="Text Box 50">
            <a:extLst>
              <a:ext uri="{FF2B5EF4-FFF2-40B4-BE49-F238E27FC236}">
                <a16:creationId xmlns:a16="http://schemas.microsoft.com/office/drawing/2014/main" id="{7CBBBA7C-95AD-CB39-C954-055B71EEF9E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9" y="403"/>
            <a:ext cx="97" cy="1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流出抑制対象幅</a:t>
            </a:r>
          </a:p>
        </xdr:txBody>
      </xdr:sp>
      <xdr:sp macro="" textlink="">
        <xdr:nvSpPr>
          <xdr:cNvPr id="3142" name="AutoShape 52">
            <a:extLst>
              <a:ext uri="{FF2B5EF4-FFF2-40B4-BE49-F238E27FC236}">
                <a16:creationId xmlns:a16="http://schemas.microsoft.com/office/drawing/2014/main" id="{53D23F57-3415-9D79-FCC1-C527831DA8F9}"/>
              </a:ext>
            </a:extLst>
          </xdr:cNvPr>
          <xdr:cNvSpPr>
            <a:spLocks noChangeArrowheads="1"/>
          </xdr:cNvSpPr>
        </xdr:nvSpPr>
        <xdr:spPr bwMode="auto">
          <a:xfrm>
            <a:off x="311" y="294"/>
            <a:ext cx="106" cy="13"/>
          </a:xfrm>
          <a:prstGeom prst="wedgeRectCallout">
            <a:avLst>
              <a:gd name="adj1" fmla="val -24835"/>
              <a:gd name="adj2" fmla="val -153135"/>
            </a:avLst>
          </a:prstGeom>
          <a:solidFill>
            <a:sysClr val="window" lastClr="FFFFFF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道路排水施設</a:t>
            </a:r>
          </a:p>
        </xdr:txBody>
      </xdr:sp>
      <xdr:sp macro="" textlink="">
        <xdr:nvSpPr>
          <xdr:cNvPr id="41485" name="Line 53">
            <a:extLst>
              <a:ext uri="{FF2B5EF4-FFF2-40B4-BE49-F238E27FC236}">
                <a16:creationId xmlns:a16="http://schemas.microsoft.com/office/drawing/2014/main" id="{48D19AD4-E82A-76D4-7B93-20AA97CF44BD}"/>
              </a:ext>
            </a:extLst>
          </xdr:cNvPr>
          <xdr:cNvSpPr>
            <a:spLocks noChangeShapeType="1"/>
          </xdr:cNvSpPr>
        </xdr:nvSpPr>
        <xdr:spPr bwMode="auto">
          <a:xfrm flipV="1">
            <a:off x="135" y="211"/>
            <a:ext cx="0" cy="5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486" name="Line 54">
            <a:extLst>
              <a:ext uri="{FF2B5EF4-FFF2-40B4-BE49-F238E27FC236}">
                <a16:creationId xmlns:a16="http://schemas.microsoft.com/office/drawing/2014/main" id="{D443AE2C-674C-D5B5-6BF6-E110E33D98EE}"/>
              </a:ext>
            </a:extLst>
          </xdr:cNvPr>
          <xdr:cNvSpPr>
            <a:spLocks noChangeShapeType="1"/>
          </xdr:cNvSpPr>
        </xdr:nvSpPr>
        <xdr:spPr bwMode="auto">
          <a:xfrm flipV="1">
            <a:off x="233" y="211"/>
            <a:ext cx="0" cy="5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487" name="Line 55">
            <a:extLst>
              <a:ext uri="{FF2B5EF4-FFF2-40B4-BE49-F238E27FC236}">
                <a16:creationId xmlns:a16="http://schemas.microsoft.com/office/drawing/2014/main" id="{6BC9AE15-98EB-E108-B1A9-7A999928B5D9}"/>
              </a:ext>
            </a:extLst>
          </xdr:cNvPr>
          <xdr:cNvSpPr>
            <a:spLocks noChangeShapeType="1"/>
          </xdr:cNvSpPr>
        </xdr:nvSpPr>
        <xdr:spPr bwMode="auto">
          <a:xfrm>
            <a:off x="135" y="222"/>
            <a:ext cx="9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sm" len="med"/>
            <a:tailEnd type="arrow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46" name="Text Box 56">
            <a:extLst>
              <a:ext uri="{FF2B5EF4-FFF2-40B4-BE49-F238E27FC236}">
                <a16:creationId xmlns:a16="http://schemas.microsoft.com/office/drawing/2014/main" id="{D665B748-D0D7-DE77-01F1-D5D0FB9223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" y="205"/>
            <a:ext cx="95" cy="1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ｙ：間口</a:t>
            </a:r>
          </a:p>
        </xdr:txBody>
      </xdr:sp>
      <xdr:sp macro="" textlink="">
        <xdr:nvSpPr>
          <xdr:cNvPr id="3147" name="Text Box 57">
            <a:extLst>
              <a:ext uri="{FF2B5EF4-FFF2-40B4-BE49-F238E27FC236}">
                <a16:creationId xmlns:a16="http://schemas.microsoft.com/office/drawing/2014/main" id="{0381B455-5353-B28B-91BB-35267B68BC1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3" y="362"/>
            <a:ext cx="70" cy="1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27432" bIns="0" anchor="t" upright="1">
            <a:spAutoFit/>
          </a:bodyPr>
          <a:lstStyle/>
          <a:p>
            <a:pPr algn="ctr" rtl="0">
              <a:defRPr sz="1000"/>
            </a:pPr>
            <a:r>
              <a:rPr lang="ja-JP" altLang="en-US" sz="1200" b="0" i="0" u="none" strike="noStrike" baseline="0">
                <a:solidFill>
                  <a:srgbClr val="008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集水流域</a:t>
            </a:r>
          </a:p>
        </xdr:txBody>
      </xdr:sp>
      <xdr:sp macro="" textlink="">
        <xdr:nvSpPr>
          <xdr:cNvPr id="41490" name="AutoShape 60">
            <a:extLst>
              <a:ext uri="{FF2B5EF4-FFF2-40B4-BE49-F238E27FC236}">
                <a16:creationId xmlns:a16="http://schemas.microsoft.com/office/drawing/2014/main" id="{B9C9B9D6-1EBD-4E93-1365-4916C95E8012}"/>
              </a:ext>
            </a:extLst>
          </xdr:cNvPr>
          <xdr:cNvSpPr>
            <a:spLocks noChangeArrowheads="1"/>
          </xdr:cNvSpPr>
        </xdr:nvSpPr>
        <xdr:spPr bwMode="auto">
          <a:xfrm>
            <a:off x="411" y="271"/>
            <a:ext cx="24" cy="10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ln w="9525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miter lim="800000"/>
            <a:headEnd/>
            <a:tailEnd/>
          </a:ln>
        </xdr:spPr>
      </xdr:sp>
      <xdr:sp macro="" textlink="">
        <xdr:nvSpPr>
          <xdr:cNvPr id="41491" name="AutoShape 61">
            <a:extLst>
              <a:ext uri="{FF2B5EF4-FFF2-40B4-BE49-F238E27FC236}">
                <a16:creationId xmlns:a16="http://schemas.microsoft.com/office/drawing/2014/main" id="{0151E851-DA53-E4C9-CAC2-2DEC9720F146}"/>
              </a:ext>
            </a:extLst>
          </xdr:cNvPr>
          <xdr:cNvSpPr>
            <a:spLocks noChangeArrowheads="1"/>
          </xdr:cNvSpPr>
        </xdr:nvSpPr>
        <xdr:spPr bwMode="auto">
          <a:xfrm>
            <a:off x="97" y="271"/>
            <a:ext cx="24" cy="10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ln w="9525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miter lim="800000"/>
            <a:headEnd/>
            <a:tailEnd/>
          </a:ln>
        </xdr:spPr>
      </xdr:sp>
    </xdr:grpSp>
    <xdr:clientData/>
  </xdr:twoCellAnchor>
  <xdr:oneCellAnchor>
    <xdr:from>
      <xdr:col>18</xdr:col>
      <xdr:colOff>244475</xdr:colOff>
      <xdr:row>21</xdr:row>
      <xdr:rowOff>187326</xdr:rowOff>
    </xdr:from>
    <xdr:ext cx="1165369" cy="351902"/>
    <xdr:sp macro="" textlink="">
      <xdr:nvSpPr>
        <xdr:cNvPr id="3" name="Text Box 50">
          <a:extLst>
            <a:ext uri="{FF2B5EF4-FFF2-40B4-BE49-F238E27FC236}">
              <a16:creationId xmlns:a16="http://schemas.microsoft.com/office/drawing/2014/main" id="{A23CAEA3-FF9B-4068-D259-064C578DD35B}"/>
            </a:ext>
          </a:extLst>
        </xdr:cNvPr>
        <xdr:cNvSpPr txBox="1">
          <a:spLocks noChangeArrowheads="1"/>
        </xdr:cNvSpPr>
      </xdr:nvSpPr>
      <xdr:spPr bwMode="auto">
        <a:xfrm>
          <a:off x="6756400" y="5325534"/>
          <a:ext cx="1185334" cy="385234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</a:rPr>
            <a:t>(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</a:rPr>
            <a:t>集水可能な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Ｐゴシック" panose="020B0600070205080204" pitchFamily="50" charset="-128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</a:rPr>
            <a:t>沿道幅超過長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</a:rPr>
            <a:t>)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104775</xdr:colOff>
      <xdr:row>15</xdr:row>
      <xdr:rowOff>114300</xdr:rowOff>
    </xdr:from>
    <xdr:ext cx="362945" cy="360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508DBB-6CFA-2905-4381-07E706B15CBC}"/>
            </a:ext>
          </a:extLst>
        </xdr:cNvPr>
        <xdr:cNvSpPr txBox="1"/>
      </xdr:nvSpPr>
      <xdr:spPr>
        <a:xfrm>
          <a:off x="1638300" y="3860800"/>
          <a:ext cx="382172" cy="390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①</a:t>
          </a:r>
        </a:p>
      </xdr:txBody>
    </xdr:sp>
    <xdr:clientData/>
  </xdr:oneCellAnchor>
  <xdr:oneCellAnchor>
    <xdr:from>
      <xdr:col>4</xdr:col>
      <xdr:colOff>381000</xdr:colOff>
      <xdr:row>7</xdr:row>
      <xdr:rowOff>57150</xdr:rowOff>
    </xdr:from>
    <xdr:ext cx="401150" cy="41255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1F11F3B-A353-35D0-6643-68A3ADBF6D79}"/>
            </a:ext>
          </a:extLst>
        </xdr:cNvPr>
        <xdr:cNvSpPr txBox="1"/>
      </xdr:nvSpPr>
      <xdr:spPr>
        <a:xfrm>
          <a:off x="1955800" y="1911350"/>
          <a:ext cx="401150" cy="412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③</a:t>
          </a:r>
        </a:p>
      </xdr:txBody>
    </xdr:sp>
    <xdr:clientData/>
  </xdr:oneCellAnchor>
  <xdr:oneCellAnchor>
    <xdr:from>
      <xdr:col>4</xdr:col>
      <xdr:colOff>320675</xdr:colOff>
      <xdr:row>15</xdr:row>
      <xdr:rowOff>114300</xdr:rowOff>
    </xdr:from>
    <xdr:ext cx="401150" cy="36125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0F3B89F-6D23-755F-FF62-181A3A535E29}"/>
            </a:ext>
          </a:extLst>
        </xdr:cNvPr>
        <xdr:cNvSpPr txBox="1"/>
      </xdr:nvSpPr>
      <xdr:spPr>
        <a:xfrm>
          <a:off x="1895475" y="3898900"/>
          <a:ext cx="401150" cy="3612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②</a:t>
          </a:r>
        </a:p>
      </xdr:txBody>
    </xdr:sp>
    <xdr:clientData/>
  </xdr:oneCellAnchor>
  <xdr:oneCellAnchor>
    <xdr:from>
      <xdr:col>19</xdr:col>
      <xdr:colOff>247650</xdr:colOff>
      <xdr:row>9</xdr:row>
      <xdr:rowOff>234950</xdr:rowOff>
    </xdr:from>
    <xdr:ext cx="407775" cy="36608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97180FB-DFC6-48D7-44FA-2656A1E0A552}"/>
            </a:ext>
          </a:extLst>
        </xdr:cNvPr>
        <xdr:cNvSpPr txBox="1"/>
      </xdr:nvSpPr>
      <xdr:spPr>
        <a:xfrm>
          <a:off x="6985000" y="2527300"/>
          <a:ext cx="375583" cy="375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③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75143</xdr:colOff>
      <xdr:row>29</xdr:row>
      <xdr:rowOff>0</xdr:rowOff>
    </xdr:from>
    <xdr:ext cx="376332" cy="47344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6411FE-4EEA-CD96-DF96-58F2EF865441}"/>
            </a:ext>
          </a:extLst>
        </xdr:cNvPr>
        <xdr:cNvSpPr txBox="1"/>
      </xdr:nvSpPr>
      <xdr:spPr>
        <a:xfrm>
          <a:off x="49743" y="7315200"/>
          <a:ext cx="382172" cy="390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①</a:t>
          </a:r>
        </a:p>
      </xdr:txBody>
    </xdr:sp>
    <xdr:clientData/>
  </xdr:oneCellAnchor>
  <xdr:oneCellAnchor>
    <xdr:from>
      <xdr:col>28</xdr:col>
      <xdr:colOff>302710</xdr:colOff>
      <xdr:row>42</xdr:row>
      <xdr:rowOff>223836</xdr:rowOff>
    </xdr:from>
    <xdr:ext cx="385352" cy="32573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8CFFC13-3BA3-773C-B7A3-9BE4D41BF0DB}"/>
            </a:ext>
          </a:extLst>
        </xdr:cNvPr>
        <xdr:cNvSpPr txBox="1"/>
      </xdr:nvSpPr>
      <xdr:spPr>
        <a:xfrm>
          <a:off x="9484810" y="10615611"/>
          <a:ext cx="385352" cy="325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②</a:t>
          </a:r>
        </a:p>
      </xdr:txBody>
    </xdr:sp>
    <xdr:clientData/>
  </xdr:oneCellAnchor>
  <xdr:oneCellAnchor>
    <xdr:from>
      <xdr:col>0</xdr:col>
      <xdr:colOff>77258</xdr:colOff>
      <xdr:row>32</xdr:row>
      <xdr:rowOff>234950</xdr:rowOff>
    </xdr:from>
    <xdr:ext cx="350582" cy="46481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331E7EC-DA8C-0676-EC66-6841B9A7A5FA}"/>
            </a:ext>
          </a:extLst>
        </xdr:cNvPr>
        <xdr:cNvSpPr txBox="1"/>
      </xdr:nvSpPr>
      <xdr:spPr>
        <a:xfrm>
          <a:off x="55033" y="8261350"/>
          <a:ext cx="362169" cy="401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②</a:t>
          </a:r>
        </a:p>
      </xdr:txBody>
    </xdr:sp>
    <xdr:clientData/>
  </xdr:oneCellAnchor>
  <xdr:oneCellAnchor>
    <xdr:from>
      <xdr:col>1</xdr:col>
      <xdr:colOff>74083</xdr:colOff>
      <xdr:row>38</xdr:row>
      <xdr:rowOff>231775</xdr:rowOff>
    </xdr:from>
    <xdr:ext cx="343726" cy="41382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A13BDE5-60D3-ECDE-B02E-70638A612EE8}"/>
            </a:ext>
          </a:extLst>
        </xdr:cNvPr>
        <xdr:cNvSpPr txBox="1"/>
      </xdr:nvSpPr>
      <xdr:spPr>
        <a:xfrm>
          <a:off x="436033" y="9769475"/>
          <a:ext cx="375583" cy="375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③</a:t>
          </a:r>
        </a:p>
      </xdr:txBody>
    </xdr:sp>
    <xdr:clientData/>
  </xdr:oneCellAnchor>
  <xdr:oneCellAnchor>
    <xdr:from>
      <xdr:col>29</xdr:col>
      <xdr:colOff>7564</xdr:colOff>
      <xdr:row>35</xdr:row>
      <xdr:rowOff>326719</xdr:rowOff>
    </xdr:from>
    <xdr:ext cx="317709" cy="32573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38E296D-EEC0-93E7-9167-1364F5832722}"/>
            </a:ext>
          </a:extLst>
        </xdr:cNvPr>
        <xdr:cNvSpPr txBox="1"/>
      </xdr:nvSpPr>
      <xdr:spPr>
        <a:xfrm>
          <a:off x="9596064" y="9064319"/>
          <a:ext cx="317709" cy="325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①</a:t>
          </a:r>
        </a:p>
      </xdr:txBody>
    </xdr:sp>
    <xdr:clientData/>
  </xdr:oneCellAnchor>
  <xdr:oneCellAnchor>
    <xdr:from>
      <xdr:col>28</xdr:col>
      <xdr:colOff>303092</xdr:colOff>
      <xdr:row>36</xdr:row>
      <xdr:rowOff>227011</xdr:rowOff>
    </xdr:from>
    <xdr:ext cx="396922" cy="32573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17C6326A-D85D-53EB-B367-34567EF3C8C6}"/>
            </a:ext>
          </a:extLst>
        </xdr:cNvPr>
        <xdr:cNvSpPr txBox="1"/>
      </xdr:nvSpPr>
      <xdr:spPr>
        <a:xfrm>
          <a:off x="9485192" y="9190036"/>
          <a:ext cx="396922" cy="325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③</a:t>
          </a:r>
        </a:p>
      </xdr:txBody>
    </xdr:sp>
    <xdr:clientData/>
  </xdr:oneCellAnchor>
  <xdr:oneCellAnchor>
    <xdr:from>
      <xdr:col>28</xdr:col>
      <xdr:colOff>298329</xdr:colOff>
      <xdr:row>37</xdr:row>
      <xdr:rowOff>222248</xdr:rowOff>
    </xdr:from>
    <xdr:ext cx="396922" cy="325730"/>
    <xdr:sp macro="" textlink="">
      <xdr:nvSpPr>
        <xdr:cNvPr id="19136" name="テキスト ボックス 19135">
          <a:extLst>
            <a:ext uri="{FF2B5EF4-FFF2-40B4-BE49-F238E27FC236}">
              <a16:creationId xmlns:a16="http://schemas.microsoft.com/office/drawing/2014/main" id="{ADEB051B-B8FE-BDA2-D241-7984DD357CDE}"/>
            </a:ext>
          </a:extLst>
        </xdr:cNvPr>
        <xdr:cNvSpPr txBox="1"/>
      </xdr:nvSpPr>
      <xdr:spPr>
        <a:xfrm>
          <a:off x="9480429" y="9423398"/>
          <a:ext cx="396922" cy="325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④</a:t>
          </a:r>
        </a:p>
      </xdr:txBody>
    </xdr:sp>
    <xdr:clientData/>
  </xdr:oneCellAnchor>
  <xdr:oneCellAnchor>
    <xdr:from>
      <xdr:col>28</xdr:col>
      <xdr:colOff>295153</xdr:colOff>
      <xdr:row>38</xdr:row>
      <xdr:rowOff>222250</xdr:rowOff>
    </xdr:from>
    <xdr:ext cx="396922" cy="323381"/>
    <xdr:sp macro="" textlink="">
      <xdr:nvSpPr>
        <xdr:cNvPr id="19137" name="テキスト ボックス 19136">
          <a:extLst>
            <a:ext uri="{FF2B5EF4-FFF2-40B4-BE49-F238E27FC236}">
              <a16:creationId xmlns:a16="http://schemas.microsoft.com/office/drawing/2014/main" id="{49A0AFA5-B48D-7A4A-6DCF-D86F548FE5D4}"/>
            </a:ext>
          </a:extLst>
        </xdr:cNvPr>
        <xdr:cNvSpPr txBox="1"/>
      </xdr:nvSpPr>
      <xdr:spPr>
        <a:xfrm>
          <a:off x="9477253" y="9661525"/>
          <a:ext cx="396922" cy="323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④</a:t>
          </a:r>
        </a:p>
      </xdr:txBody>
    </xdr:sp>
    <xdr:clientData/>
  </xdr:oneCellAnchor>
  <xdr:twoCellAnchor>
    <xdr:from>
      <xdr:col>0</xdr:col>
      <xdr:colOff>114300</xdr:colOff>
      <xdr:row>7</xdr:row>
      <xdr:rowOff>76200</xdr:rowOff>
    </xdr:from>
    <xdr:to>
      <xdr:col>25</xdr:col>
      <xdr:colOff>0</xdr:colOff>
      <xdr:row>27</xdr:row>
      <xdr:rowOff>101600</xdr:rowOff>
    </xdr:to>
    <xdr:grpSp>
      <xdr:nvGrpSpPr>
        <xdr:cNvPr id="42415" name="グループ化 6">
          <a:extLst>
            <a:ext uri="{FF2B5EF4-FFF2-40B4-BE49-F238E27FC236}">
              <a16:creationId xmlns:a16="http://schemas.microsoft.com/office/drawing/2014/main" id="{EF8B63CE-A841-584A-FCAC-AA1F1CE4D0E5}"/>
            </a:ext>
          </a:extLst>
        </xdr:cNvPr>
        <xdr:cNvGrpSpPr>
          <a:grpSpLocks/>
        </xdr:cNvGrpSpPr>
      </xdr:nvGrpSpPr>
      <xdr:grpSpPr bwMode="auto">
        <a:xfrm>
          <a:off x="114300" y="2082800"/>
          <a:ext cx="8928100" cy="4851400"/>
          <a:chOff x="114300" y="2082800"/>
          <a:chExt cx="8155516" cy="4857750"/>
        </a:xfrm>
      </xdr:grpSpPr>
      <xdr:sp macro="" textlink="">
        <xdr:nvSpPr>
          <xdr:cNvPr id="19142" name="フリーフォーム: 図形 19141">
            <a:extLst>
              <a:ext uri="{FF2B5EF4-FFF2-40B4-BE49-F238E27FC236}">
                <a16:creationId xmlns:a16="http://schemas.microsoft.com/office/drawing/2014/main" id="{CF4E650D-F3F6-EED4-F3DD-B8EEFC9F3BAE}"/>
              </a:ext>
            </a:extLst>
          </xdr:cNvPr>
          <xdr:cNvSpPr/>
        </xdr:nvSpPr>
        <xdr:spPr bwMode="auto">
          <a:xfrm>
            <a:off x="949619" y="2956543"/>
            <a:ext cx="4520923" cy="1825732"/>
          </a:xfrm>
          <a:custGeom>
            <a:avLst/>
            <a:gdLst>
              <a:gd name="connsiteX0" fmla="*/ 0 w 4495800"/>
              <a:gd name="connsiteY0" fmla="*/ 1771650 h 1790700"/>
              <a:gd name="connsiteX1" fmla="*/ 809625 w 4495800"/>
              <a:gd name="connsiteY1" fmla="*/ 19050 h 1790700"/>
              <a:gd name="connsiteX2" fmla="*/ 2667000 w 4495800"/>
              <a:gd name="connsiteY2" fmla="*/ 0 h 1790700"/>
              <a:gd name="connsiteX3" fmla="*/ 3876675 w 4495800"/>
              <a:gd name="connsiteY3" fmla="*/ 114300 h 1790700"/>
              <a:gd name="connsiteX4" fmla="*/ 4495800 w 4495800"/>
              <a:gd name="connsiteY4" fmla="*/ 1790700 h 1790700"/>
              <a:gd name="connsiteX5" fmla="*/ 3790950 w 4495800"/>
              <a:gd name="connsiteY5" fmla="*/ 514350 h 1790700"/>
              <a:gd name="connsiteX6" fmla="*/ 2447925 w 4495800"/>
              <a:gd name="connsiteY6" fmla="*/ 504825 h 1790700"/>
              <a:gd name="connsiteX7" fmla="*/ 1971675 w 4495800"/>
              <a:gd name="connsiteY7" fmla="*/ 838200 h 1790700"/>
              <a:gd name="connsiteX8" fmla="*/ 857250 w 4495800"/>
              <a:gd name="connsiteY8" fmla="*/ 838200 h 1790700"/>
              <a:gd name="connsiteX9" fmla="*/ 0 w 4495800"/>
              <a:gd name="connsiteY9" fmla="*/ 1771650 h 1790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4495800" h="1790700">
                <a:moveTo>
                  <a:pt x="0" y="1771650"/>
                </a:moveTo>
                <a:lnTo>
                  <a:pt x="809625" y="19050"/>
                </a:lnTo>
                <a:lnTo>
                  <a:pt x="2667000" y="0"/>
                </a:lnTo>
                <a:lnTo>
                  <a:pt x="3876675" y="114300"/>
                </a:lnTo>
                <a:lnTo>
                  <a:pt x="4495800" y="1790700"/>
                </a:lnTo>
                <a:lnTo>
                  <a:pt x="3790950" y="514350"/>
                </a:lnTo>
                <a:lnTo>
                  <a:pt x="2447925" y="504825"/>
                </a:lnTo>
                <a:lnTo>
                  <a:pt x="1971675" y="838200"/>
                </a:lnTo>
                <a:lnTo>
                  <a:pt x="857250" y="838200"/>
                </a:lnTo>
                <a:lnTo>
                  <a:pt x="0" y="1771650"/>
                </a:lnTo>
                <a:close/>
              </a:path>
            </a:pathLst>
          </a:custGeom>
          <a:solidFill>
            <a:srgbClr val="00FFFF">
              <a:alpha val="20000"/>
            </a:srgb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endParaRPr lang="ja-JP" altLang="en-US"/>
          </a:p>
        </xdr:txBody>
      </xdr:sp>
      <xdr:sp macro="" textlink="">
        <xdr:nvSpPr>
          <xdr:cNvPr id="42420" name="Freeform 74">
            <a:extLst>
              <a:ext uri="{FF2B5EF4-FFF2-40B4-BE49-F238E27FC236}">
                <a16:creationId xmlns:a16="http://schemas.microsoft.com/office/drawing/2014/main" id="{4C618566-A182-313E-C89D-03898E5E4358}"/>
              </a:ext>
            </a:extLst>
          </xdr:cNvPr>
          <xdr:cNvSpPr>
            <a:spLocks/>
          </xdr:cNvSpPr>
        </xdr:nvSpPr>
        <xdr:spPr bwMode="auto">
          <a:xfrm>
            <a:off x="962964" y="3473909"/>
            <a:ext cx="4485400" cy="1290310"/>
          </a:xfrm>
          <a:custGeom>
            <a:avLst/>
            <a:gdLst>
              <a:gd name="T0" fmla="*/ 0 w 344"/>
              <a:gd name="T1" fmla="*/ 2147483646 h 92"/>
              <a:gd name="T2" fmla="*/ 2147483646 w 344"/>
              <a:gd name="T3" fmla="*/ 2147483646 h 92"/>
              <a:gd name="T4" fmla="*/ 2147483646 w 344"/>
              <a:gd name="T5" fmla="*/ 2147483646 h 92"/>
              <a:gd name="T6" fmla="*/ 2147483646 w 344"/>
              <a:gd name="T7" fmla="*/ 0 h 92"/>
              <a:gd name="T8" fmla="*/ 2147483646 w 344"/>
              <a:gd name="T9" fmla="*/ 0 h 92"/>
              <a:gd name="T10" fmla="*/ 2147483646 w 344"/>
              <a:gd name="T11" fmla="*/ 2147483646 h 92"/>
              <a:gd name="T12" fmla="*/ 0 w 344"/>
              <a:gd name="T13" fmla="*/ 2147483646 h 92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0" t="0" r="r" b="b"/>
            <a:pathLst>
              <a:path w="344" h="92">
                <a:moveTo>
                  <a:pt x="0" y="92"/>
                </a:moveTo>
                <a:lnTo>
                  <a:pt x="65" y="24"/>
                </a:lnTo>
                <a:lnTo>
                  <a:pt x="149" y="24"/>
                </a:lnTo>
                <a:lnTo>
                  <a:pt x="187" y="0"/>
                </a:lnTo>
                <a:lnTo>
                  <a:pt x="290" y="0"/>
                </a:lnTo>
                <a:lnTo>
                  <a:pt x="344" y="92"/>
                </a:lnTo>
                <a:lnTo>
                  <a:pt x="0" y="92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4" name="Rectangle 82">
            <a:extLst>
              <a:ext uri="{FF2B5EF4-FFF2-40B4-BE49-F238E27FC236}">
                <a16:creationId xmlns:a16="http://schemas.microsoft.com/office/drawing/2014/main" id="{B6C2A792-D45B-81CB-4335-372E273895AE}"/>
              </a:ext>
            </a:extLst>
          </xdr:cNvPr>
          <xdr:cNvSpPr>
            <a:spLocks noChangeArrowheads="1"/>
          </xdr:cNvSpPr>
        </xdr:nvSpPr>
        <xdr:spPr bwMode="auto">
          <a:xfrm>
            <a:off x="860348" y="4873885"/>
            <a:ext cx="4795112" cy="28690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>
            <a:noFill/>
          </a:ln>
        </xdr:spPr>
        <xdr:txBody>
          <a:bodyPr vertOverflow="clip" wrap="square" lIns="27432" tIns="0" rIns="27432" bIns="18288" anchor="b" upright="1">
            <a:noAutofit/>
          </a:bodyPr>
          <a:lstStyle/>
          <a:p>
            <a:pPr algn="ctr" rtl="0">
              <a:defRPr sz="1000"/>
            </a:pPr>
            <a:r>
              <a:rPr lang="ja-JP" altLang="en-US" sz="1200" b="0" i="0" u="none" strike="noStrike" baseline="0">
                <a:solidFill>
                  <a:srgbClr val="008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集水流域Ⅰ</a:t>
            </a:r>
          </a:p>
        </xdr:txBody>
      </xdr:sp>
      <xdr:sp macro="" textlink="">
        <xdr:nvSpPr>
          <xdr:cNvPr id="42422" name="Rectangle 70">
            <a:extLst>
              <a:ext uri="{FF2B5EF4-FFF2-40B4-BE49-F238E27FC236}">
                <a16:creationId xmlns:a16="http://schemas.microsoft.com/office/drawing/2014/main" id="{0CC66E57-28A9-612C-1A2F-89FD1BB8C49A}"/>
              </a:ext>
            </a:extLst>
          </xdr:cNvPr>
          <xdr:cNvSpPr>
            <a:spLocks noChangeArrowheads="1"/>
          </xdr:cNvSpPr>
        </xdr:nvSpPr>
        <xdr:spPr bwMode="auto">
          <a:xfrm>
            <a:off x="180233" y="4764219"/>
            <a:ext cx="6073002" cy="11036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27">
            <a:extLst>
              <a:ext uri="{FF2B5EF4-FFF2-40B4-BE49-F238E27FC236}">
                <a16:creationId xmlns:a16="http://schemas.microsoft.com/office/drawing/2014/main" id="{7C4DB1DC-9948-EBA2-542E-C8EAAC9D5527}"/>
              </a:ext>
            </a:extLst>
          </xdr:cNvPr>
          <xdr:cNvSpPr>
            <a:spLocks noChangeArrowheads="1"/>
          </xdr:cNvSpPr>
        </xdr:nvSpPr>
        <xdr:spPr bwMode="auto">
          <a:xfrm>
            <a:off x="898457" y="5198594"/>
            <a:ext cx="4712218" cy="29994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>
            <a:noFill/>
          </a:ln>
        </xdr:spPr>
        <xdr:txBody>
          <a:bodyPr vertOverflow="clip" wrap="square" lIns="27432" tIns="18288" rIns="27432" bIns="0" anchor="t" upright="1">
            <a:noAutofit/>
          </a:bodyPr>
          <a:lstStyle/>
          <a:p>
            <a:pPr algn="ctr" rtl="0">
              <a:defRPr sz="1000"/>
            </a:pPr>
            <a:r>
              <a:rPr lang="ja-JP" altLang="en-US" sz="1200" b="0" i="0" u="none" strike="noStrike" baseline="0">
                <a:solidFill>
                  <a:srgbClr val="FF66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集水流域Ⅱ</a:t>
            </a:r>
          </a:p>
        </xdr:txBody>
      </xdr:sp>
      <xdr:sp macro="" textlink="">
        <xdr:nvSpPr>
          <xdr:cNvPr id="42424" name="Rectangle 28">
            <a:extLst>
              <a:ext uri="{FF2B5EF4-FFF2-40B4-BE49-F238E27FC236}">
                <a16:creationId xmlns:a16="http://schemas.microsoft.com/office/drawing/2014/main" id="{271BCC45-11EC-8AA5-AFF7-2B2EA60D5E91}"/>
              </a:ext>
            </a:extLst>
          </xdr:cNvPr>
          <xdr:cNvSpPr>
            <a:spLocks noChangeArrowheads="1"/>
          </xdr:cNvSpPr>
        </xdr:nvSpPr>
        <xdr:spPr bwMode="auto">
          <a:xfrm>
            <a:off x="791538" y="5494261"/>
            <a:ext cx="4854626" cy="4138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425" name="Rectangle 30">
            <a:extLst>
              <a:ext uri="{FF2B5EF4-FFF2-40B4-BE49-F238E27FC236}">
                <a16:creationId xmlns:a16="http://schemas.microsoft.com/office/drawing/2014/main" id="{F31FDCD5-87A4-39CD-7E76-085EB37159C7}"/>
              </a:ext>
            </a:extLst>
          </xdr:cNvPr>
          <xdr:cNvSpPr>
            <a:spLocks noChangeArrowheads="1"/>
          </xdr:cNvSpPr>
        </xdr:nvSpPr>
        <xdr:spPr bwMode="auto">
          <a:xfrm>
            <a:off x="153860" y="5452876"/>
            <a:ext cx="6073002" cy="11036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31">
            <a:extLst>
              <a:ext uri="{FF2B5EF4-FFF2-40B4-BE49-F238E27FC236}">
                <a16:creationId xmlns:a16="http://schemas.microsoft.com/office/drawing/2014/main" id="{7F64066A-338C-59C3-9E5D-0A8403486055}"/>
              </a:ext>
            </a:extLst>
          </xdr:cNvPr>
          <xdr:cNvSpPr>
            <a:spLocks noChangeArrowheads="1"/>
          </xdr:cNvSpPr>
        </xdr:nvSpPr>
        <xdr:spPr bwMode="auto">
          <a:xfrm>
            <a:off x="675430" y="2839174"/>
            <a:ext cx="274189" cy="401660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　　　　　　　　　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　水路</a:t>
            </a:r>
          </a:p>
        </xdr:txBody>
      </xdr:sp>
      <xdr:sp macro="" textlink="">
        <xdr:nvSpPr>
          <xdr:cNvPr id="10" name="Rectangle 32">
            <a:extLst>
              <a:ext uri="{FF2B5EF4-FFF2-40B4-BE49-F238E27FC236}">
                <a16:creationId xmlns:a16="http://schemas.microsoft.com/office/drawing/2014/main" id="{F697E3E0-1B94-7485-79F3-AE8B117DA2B9}"/>
              </a:ext>
            </a:extLst>
          </xdr:cNvPr>
          <xdr:cNvSpPr>
            <a:spLocks noChangeArrowheads="1"/>
          </xdr:cNvSpPr>
        </xdr:nvSpPr>
        <xdr:spPr bwMode="auto">
          <a:xfrm>
            <a:off x="5451413" y="2865256"/>
            <a:ext cx="267812" cy="399052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　　　　　　　　　　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水路</a:t>
            </a:r>
            <a:endPara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42428" name="Rectangle 35">
            <a:extLst>
              <a:ext uri="{FF2B5EF4-FFF2-40B4-BE49-F238E27FC236}">
                <a16:creationId xmlns:a16="http://schemas.microsoft.com/office/drawing/2014/main" id="{F84A9C20-0B0B-215E-017E-E1E36D8A6E7B}"/>
              </a:ext>
            </a:extLst>
          </xdr:cNvPr>
          <xdr:cNvSpPr>
            <a:spLocks noChangeArrowheads="1"/>
          </xdr:cNvSpPr>
        </xdr:nvSpPr>
        <xdr:spPr bwMode="auto">
          <a:xfrm>
            <a:off x="558412" y="6701801"/>
            <a:ext cx="5360437" cy="22495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429" name="Line 36">
            <a:extLst>
              <a:ext uri="{FF2B5EF4-FFF2-40B4-BE49-F238E27FC236}">
                <a16:creationId xmlns:a16="http://schemas.microsoft.com/office/drawing/2014/main" id="{1BA7E4E9-7158-A5A6-AEAA-2801DC7BE773}"/>
              </a:ext>
            </a:extLst>
          </xdr:cNvPr>
          <xdr:cNvSpPr>
            <a:spLocks noChangeShapeType="1"/>
          </xdr:cNvSpPr>
        </xdr:nvSpPr>
        <xdr:spPr bwMode="auto">
          <a:xfrm>
            <a:off x="219793" y="5158947"/>
            <a:ext cx="63852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430" name="Line 38">
            <a:extLst>
              <a:ext uri="{FF2B5EF4-FFF2-40B4-BE49-F238E27FC236}">
                <a16:creationId xmlns:a16="http://schemas.microsoft.com/office/drawing/2014/main" id="{05B63D0D-CD05-0915-F052-84775BBADEBF}"/>
              </a:ext>
            </a:extLst>
          </xdr:cNvPr>
          <xdr:cNvSpPr>
            <a:spLocks noChangeShapeType="1"/>
          </xdr:cNvSpPr>
        </xdr:nvSpPr>
        <xdr:spPr bwMode="auto">
          <a:xfrm>
            <a:off x="206606" y="5452876"/>
            <a:ext cx="68425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Text Box 39">
            <a:extLst>
              <a:ext uri="{FF2B5EF4-FFF2-40B4-BE49-F238E27FC236}">
                <a16:creationId xmlns:a16="http://schemas.microsoft.com/office/drawing/2014/main" id="{337B57D3-686C-9F59-50AB-95FBCD77D2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32779" y="5088737"/>
            <a:ext cx="1237037" cy="221696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Ｗ：道路敷地幅</a:t>
            </a:r>
          </a:p>
        </xdr:txBody>
      </xdr:sp>
      <xdr:sp macro="" textlink="">
        <xdr:nvSpPr>
          <xdr:cNvPr id="42432" name="Line 40">
            <a:extLst>
              <a:ext uri="{FF2B5EF4-FFF2-40B4-BE49-F238E27FC236}">
                <a16:creationId xmlns:a16="http://schemas.microsoft.com/office/drawing/2014/main" id="{E244B620-737A-D663-74A9-3ED92204F8BC}"/>
              </a:ext>
            </a:extLst>
          </xdr:cNvPr>
          <xdr:cNvSpPr>
            <a:spLocks noChangeShapeType="1"/>
          </xdr:cNvSpPr>
        </xdr:nvSpPr>
        <xdr:spPr bwMode="auto">
          <a:xfrm>
            <a:off x="949777" y="2307754"/>
            <a:ext cx="449858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sm" len="med"/>
            <a:tailEnd type="arrow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Text Box 41">
            <a:extLst>
              <a:ext uri="{FF2B5EF4-FFF2-40B4-BE49-F238E27FC236}">
                <a16:creationId xmlns:a16="http://schemas.microsoft.com/office/drawing/2014/main" id="{29166EC8-F072-EDCF-4774-DB6C4175B5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75926" y="2082800"/>
            <a:ext cx="1881061" cy="221696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27432" bIns="0" anchor="t" upright="1">
            <a:noAutofit/>
          </a:bodyPr>
          <a:lstStyle/>
          <a:p>
            <a:pPr algn="ct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Ｌ：流末水路間隔</a:t>
            </a:r>
          </a:p>
        </xdr:txBody>
      </xdr:sp>
      <xdr:sp macro="" textlink="">
        <xdr:nvSpPr>
          <xdr:cNvPr id="42434" name="Line 42">
            <a:extLst>
              <a:ext uri="{FF2B5EF4-FFF2-40B4-BE49-F238E27FC236}">
                <a16:creationId xmlns:a16="http://schemas.microsoft.com/office/drawing/2014/main" id="{57F438F3-E5DC-9D01-00A0-510D47093954}"/>
              </a:ext>
            </a:extLst>
          </xdr:cNvPr>
          <xdr:cNvSpPr>
            <a:spLocks noChangeShapeType="1"/>
          </xdr:cNvSpPr>
        </xdr:nvSpPr>
        <xdr:spPr bwMode="auto">
          <a:xfrm>
            <a:off x="6947893" y="4874579"/>
            <a:ext cx="0" cy="57829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sm" len="med"/>
            <a:tailEnd type="arrow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435" name="Line 43">
            <a:extLst>
              <a:ext uri="{FF2B5EF4-FFF2-40B4-BE49-F238E27FC236}">
                <a16:creationId xmlns:a16="http://schemas.microsoft.com/office/drawing/2014/main" id="{E705C395-1195-822B-EBD1-28A5C19F6D97}"/>
              </a:ext>
            </a:extLst>
          </xdr:cNvPr>
          <xdr:cNvSpPr>
            <a:spLocks noChangeShapeType="1"/>
          </xdr:cNvSpPr>
        </xdr:nvSpPr>
        <xdr:spPr bwMode="auto">
          <a:xfrm>
            <a:off x="6477408" y="5411491"/>
            <a:ext cx="0" cy="3353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sm" len="med"/>
            <a:tailEnd type="none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436" name="Line 44">
            <a:extLst>
              <a:ext uri="{FF2B5EF4-FFF2-40B4-BE49-F238E27FC236}">
                <a16:creationId xmlns:a16="http://schemas.microsoft.com/office/drawing/2014/main" id="{1597EF66-C70F-2E05-CBE6-CB117EC35201}"/>
              </a:ext>
            </a:extLst>
          </xdr:cNvPr>
          <xdr:cNvSpPr>
            <a:spLocks noChangeShapeType="1"/>
          </xdr:cNvSpPr>
        </xdr:nvSpPr>
        <xdr:spPr bwMode="auto">
          <a:xfrm>
            <a:off x="6477408" y="4906403"/>
            <a:ext cx="0" cy="28013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sm" len="med"/>
            <a:tailEnd type="arrow" w="sm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437" name="Line 45">
            <a:extLst>
              <a:ext uri="{FF2B5EF4-FFF2-40B4-BE49-F238E27FC236}">
                <a16:creationId xmlns:a16="http://schemas.microsoft.com/office/drawing/2014/main" id="{20F4A753-9C0B-F1D1-7A86-02016F58FF57}"/>
              </a:ext>
            </a:extLst>
          </xdr:cNvPr>
          <xdr:cNvSpPr>
            <a:spLocks noChangeShapeType="1"/>
          </xdr:cNvSpPr>
        </xdr:nvSpPr>
        <xdr:spPr bwMode="auto">
          <a:xfrm>
            <a:off x="6477408" y="5158947"/>
            <a:ext cx="0" cy="29392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Text Box 46">
            <a:extLst>
              <a:ext uri="{FF2B5EF4-FFF2-40B4-BE49-F238E27FC236}">
                <a16:creationId xmlns:a16="http://schemas.microsoft.com/office/drawing/2014/main" id="{EAB90F9B-0E2A-7607-D0B6-CB4AA3A678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03531" y="5493006"/>
            <a:ext cx="561130" cy="228216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Ｗ/２</a:t>
            </a:r>
          </a:p>
        </xdr:txBody>
      </xdr:sp>
      <xdr:sp macro="" textlink="">
        <xdr:nvSpPr>
          <xdr:cNvPr id="22" name="Rectangle 47" descr="右上がり対角線">
            <a:extLst>
              <a:ext uri="{FF2B5EF4-FFF2-40B4-BE49-F238E27FC236}">
                <a16:creationId xmlns:a16="http://schemas.microsoft.com/office/drawing/2014/main" id="{0E430004-DFFD-206A-F323-E2C3B62A64E4}"/>
              </a:ext>
            </a:extLst>
          </xdr:cNvPr>
          <xdr:cNvSpPr>
            <a:spLocks noChangeArrowheads="1"/>
          </xdr:cNvSpPr>
        </xdr:nvSpPr>
        <xdr:spPr bwMode="auto">
          <a:xfrm>
            <a:off x="1497996" y="5564731"/>
            <a:ext cx="994731" cy="899825"/>
          </a:xfrm>
          <a:prstGeom prst="rect">
            <a:avLst/>
          </a:prstGeom>
          <a:pattFill prst="ltUpDiag">
            <a:fgClr>
              <a:srgbClr xmlns:mc="http://schemas.openxmlformats.org/markup-compatibility/2006" xmlns:a14="http://schemas.microsoft.com/office/drawing/2010/main" val="FFCC00" mc:Ignorable="a14" a14:legacySpreadsheetColorIndex="51"/>
            </a:fgClr>
            <a:bgClr>
              <a:srgbClr xmlns:mc="http://schemas.openxmlformats.org/markup-compatibility/2006" xmlns:a14="http://schemas.microsoft.com/office/drawing/2010/main" val="FFFF99" mc:Ignorable="a14" a14:legacySpreadsheetColorIndex="43"/>
            </a:bgClr>
          </a:patt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200" b="0" i="0" u="none" strike="noStrike" baseline="0">
                <a:solidFill>
                  <a:srgbClr val="FF66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申請地Ⅱ</a:t>
            </a:r>
          </a:p>
        </xdr:txBody>
      </xdr:sp>
      <xdr:sp macro="" textlink="">
        <xdr:nvSpPr>
          <xdr:cNvPr id="42440" name="Line 49">
            <a:extLst>
              <a:ext uri="{FF2B5EF4-FFF2-40B4-BE49-F238E27FC236}">
                <a16:creationId xmlns:a16="http://schemas.microsoft.com/office/drawing/2014/main" id="{05425BC3-8D8D-0E1C-C426-297CE8A6F10F}"/>
              </a:ext>
            </a:extLst>
          </xdr:cNvPr>
          <xdr:cNvSpPr>
            <a:spLocks noChangeShapeType="1"/>
          </xdr:cNvSpPr>
        </xdr:nvSpPr>
        <xdr:spPr bwMode="auto">
          <a:xfrm>
            <a:off x="206606" y="5563236"/>
            <a:ext cx="603344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AutoShape 62">
            <a:extLst>
              <a:ext uri="{FF2B5EF4-FFF2-40B4-BE49-F238E27FC236}">
                <a16:creationId xmlns:a16="http://schemas.microsoft.com/office/drawing/2014/main" id="{CCC43BD9-89F8-5489-60BC-1AAC40F1B6EE}"/>
              </a:ext>
            </a:extLst>
          </xdr:cNvPr>
          <xdr:cNvSpPr>
            <a:spLocks noChangeArrowheads="1"/>
          </xdr:cNvSpPr>
        </xdr:nvSpPr>
        <xdr:spPr bwMode="auto">
          <a:xfrm>
            <a:off x="3793528" y="5786427"/>
            <a:ext cx="1383696" cy="241257"/>
          </a:xfrm>
          <a:prstGeom prst="wedgeRectCallout">
            <a:avLst>
              <a:gd name="adj1" fmla="val -29245"/>
              <a:gd name="adj2" fmla="val -113634"/>
            </a:avLst>
          </a:prstGeom>
          <a:solidFill>
            <a:sysClr val="window" lastClr="FFFFFF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道路排水施設</a:t>
            </a:r>
          </a:p>
        </xdr:txBody>
      </xdr:sp>
      <xdr:sp macro="" textlink="">
        <xdr:nvSpPr>
          <xdr:cNvPr id="42442" name="Line 64">
            <a:extLst>
              <a:ext uri="{FF2B5EF4-FFF2-40B4-BE49-F238E27FC236}">
                <a16:creationId xmlns:a16="http://schemas.microsoft.com/office/drawing/2014/main" id="{624921F8-D4BF-FE1C-8811-33C51AFE2F21}"/>
              </a:ext>
            </a:extLst>
          </xdr:cNvPr>
          <xdr:cNvSpPr>
            <a:spLocks noChangeShapeType="1"/>
          </xdr:cNvSpPr>
        </xdr:nvSpPr>
        <xdr:spPr bwMode="auto">
          <a:xfrm flipV="1">
            <a:off x="5448364" y="2234545"/>
            <a:ext cx="0" cy="57829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443" name="AutoShape 68">
            <a:extLst>
              <a:ext uri="{FF2B5EF4-FFF2-40B4-BE49-F238E27FC236}">
                <a16:creationId xmlns:a16="http://schemas.microsoft.com/office/drawing/2014/main" id="{C563A814-5B39-A071-7A36-862CBFA707BF}"/>
              </a:ext>
            </a:extLst>
          </xdr:cNvPr>
          <xdr:cNvSpPr>
            <a:spLocks noChangeArrowheads="1"/>
          </xdr:cNvSpPr>
        </xdr:nvSpPr>
        <xdr:spPr bwMode="auto">
          <a:xfrm>
            <a:off x="5096559" y="5439081"/>
            <a:ext cx="312245" cy="137950"/>
          </a:xfrm>
          <a:prstGeom prst="leftArrow">
            <a:avLst>
              <a:gd name="adj1" fmla="val 50000"/>
              <a:gd name="adj2" fmla="val 60003"/>
            </a:avLst>
          </a:prstGeom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ln w="9525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miter lim="800000"/>
            <a:headEnd/>
            <a:tailEnd/>
          </a:ln>
        </xdr:spPr>
      </xdr:sp>
      <xdr:sp macro="" textlink="">
        <xdr:nvSpPr>
          <xdr:cNvPr id="42444" name="AutoShape 69">
            <a:extLst>
              <a:ext uri="{FF2B5EF4-FFF2-40B4-BE49-F238E27FC236}">
                <a16:creationId xmlns:a16="http://schemas.microsoft.com/office/drawing/2014/main" id="{5751D2F7-4686-2CA7-6CC7-ACF470A40AD7}"/>
              </a:ext>
            </a:extLst>
          </xdr:cNvPr>
          <xdr:cNvSpPr>
            <a:spLocks noChangeArrowheads="1"/>
          </xdr:cNvSpPr>
        </xdr:nvSpPr>
        <xdr:spPr bwMode="auto">
          <a:xfrm>
            <a:off x="1002524" y="5439081"/>
            <a:ext cx="308013" cy="137950"/>
          </a:xfrm>
          <a:prstGeom prst="leftArrow">
            <a:avLst>
              <a:gd name="adj1" fmla="val 50000"/>
              <a:gd name="adj2" fmla="val 59996"/>
            </a:avLst>
          </a:prstGeom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ln w="9525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miter lim="800000"/>
            <a:headEnd/>
            <a:tailEnd/>
          </a:ln>
        </xdr:spPr>
      </xdr:sp>
      <xdr:sp macro="" textlink="">
        <xdr:nvSpPr>
          <xdr:cNvPr id="42445" name="Line 37">
            <a:extLst>
              <a:ext uri="{FF2B5EF4-FFF2-40B4-BE49-F238E27FC236}">
                <a16:creationId xmlns:a16="http://schemas.microsoft.com/office/drawing/2014/main" id="{286B9F5A-9D2E-9241-395E-4E677762BF24}"/>
              </a:ext>
            </a:extLst>
          </xdr:cNvPr>
          <xdr:cNvSpPr>
            <a:spLocks noChangeShapeType="1"/>
          </xdr:cNvSpPr>
        </xdr:nvSpPr>
        <xdr:spPr bwMode="auto">
          <a:xfrm>
            <a:off x="206606" y="4874579"/>
            <a:ext cx="680298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446" name="Line 71">
            <a:extLst>
              <a:ext uri="{FF2B5EF4-FFF2-40B4-BE49-F238E27FC236}">
                <a16:creationId xmlns:a16="http://schemas.microsoft.com/office/drawing/2014/main" id="{DCC40E21-B09C-0F05-B21D-3A83A57BDD12}"/>
              </a:ext>
            </a:extLst>
          </xdr:cNvPr>
          <xdr:cNvSpPr>
            <a:spLocks noChangeShapeType="1"/>
          </xdr:cNvSpPr>
        </xdr:nvSpPr>
        <xdr:spPr bwMode="auto">
          <a:xfrm>
            <a:off x="193420" y="4764219"/>
            <a:ext cx="599388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Rectangle 72" descr="右上がり対角線 (反転)">
            <a:extLst>
              <a:ext uri="{FF2B5EF4-FFF2-40B4-BE49-F238E27FC236}">
                <a16:creationId xmlns:a16="http://schemas.microsoft.com/office/drawing/2014/main" id="{667C0F99-1206-D4E5-F564-4E68FD369CBD}"/>
              </a:ext>
            </a:extLst>
          </xdr:cNvPr>
          <xdr:cNvSpPr>
            <a:spLocks noChangeArrowheads="1"/>
          </xdr:cNvSpPr>
        </xdr:nvSpPr>
        <xdr:spPr bwMode="auto">
          <a:xfrm>
            <a:off x="3608610" y="3967216"/>
            <a:ext cx="1020237" cy="769415"/>
          </a:xfrm>
          <a:prstGeom prst="rect">
            <a:avLst/>
          </a:prstGeom>
          <a:pattFill prst="dkUpDiag">
            <a:fgClr>
              <a:srgbClr xmlns:mc="http://schemas.openxmlformats.org/markup-compatibility/2006" xmlns:a14="http://schemas.microsoft.com/office/drawing/2010/main" val="99CC00" mc:Ignorable="a14" a14:legacySpreadsheetColorIndex="50"/>
            </a:fgClr>
            <a:bgClr>
              <a:srgbClr xmlns:mc="http://schemas.openxmlformats.org/markup-compatibility/2006" xmlns:a14="http://schemas.microsoft.com/office/drawing/2010/main" val="CCFFCC" mc:Ignorable="a14" a14:legacySpreadsheetColorIndex="42"/>
            </a:bgClr>
          </a:patt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200" b="0" i="0" u="none" strike="noStrike" baseline="0">
                <a:solidFill>
                  <a:srgbClr val="008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申請地Ⅰ</a:t>
            </a:r>
          </a:p>
        </xdr:txBody>
      </xdr:sp>
      <xdr:sp macro="" textlink="">
        <xdr:nvSpPr>
          <xdr:cNvPr id="42448" name="Freeform 75">
            <a:extLst>
              <a:ext uri="{FF2B5EF4-FFF2-40B4-BE49-F238E27FC236}">
                <a16:creationId xmlns:a16="http://schemas.microsoft.com/office/drawing/2014/main" id="{F1318470-6601-CD37-C241-3F73D10421C6}"/>
              </a:ext>
            </a:extLst>
          </xdr:cNvPr>
          <xdr:cNvSpPr>
            <a:spLocks/>
          </xdr:cNvSpPr>
        </xdr:nvSpPr>
        <xdr:spPr bwMode="auto">
          <a:xfrm>
            <a:off x="962964" y="2950793"/>
            <a:ext cx="4485400" cy="1813426"/>
          </a:xfrm>
          <a:custGeom>
            <a:avLst/>
            <a:gdLst>
              <a:gd name="T0" fmla="*/ 0 w 344"/>
              <a:gd name="T1" fmla="*/ 2147483646 h 118"/>
              <a:gd name="T2" fmla="*/ 2147483646 w 344"/>
              <a:gd name="T3" fmla="*/ 2147483646 h 118"/>
              <a:gd name="T4" fmla="*/ 2147483646 w 344"/>
              <a:gd name="T5" fmla="*/ 0 h 118"/>
              <a:gd name="T6" fmla="*/ 2147483646 w 344"/>
              <a:gd name="T7" fmla="*/ 2147483646 h 118"/>
              <a:gd name="T8" fmla="*/ 2147483646 w 344"/>
              <a:gd name="T9" fmla="*/ 2147483646 h 118"/>
              <a:gd name="T10" fmla="*/ 0 w 344"/>
              <a:gd name="T11" fmla="*/ 2147483646 h 11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344" h="118">
                <a:moveTo>
                  <a:pt x="0" y="118"/>
                </a:moveTo>
                <a:lnTo>
                  <a:pt x="62" y="1"/>
                </a:lnTo>
                <a:lnTo>
                  <a:pt x="205" y="0"/>
                </a:lnTo>
                <a:lnTo>
                  <a:pt x="296" y="7"/>
                </a:lnTo>
                <a:lnTo>
                  <a:pt x="344" y="118"/>
                </a:lnTo>
                <a:lnTo>
                  <a:pt x="0" y="118"/>
                </a:lnTo>
                <a:close/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2449" name="Line 76">
            <a:extLst>
              <a:ext uri="{FF2B5EF4-FFF2-40B4-BE49-F238E27FC236}">
                <a16:creationId xmlns:a16="http://schemas.microsoft.com/office/drawing/2014/main" id="{75CD5015-E434-1517-B8E4-EEC9EBBCFBF6}"/>
              </a:ext>
            </a:extLst>
          </xdr:cNvPr>
          <xdr:cNvSpPr>
            <a:spLocks noChangeShapeType="1"/>
          </xdr:cNvSpPr>
        </xdr:nvSpPr>
        <xdr:spPr bwMode="auto">
          <a:xfrm flipV="1">
            <a:off x="949777" y="2252573"/>
            <a:ext cx="0" cy="5740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450" name="Rectangle 33">
            <a:extLst>
              <a:ext uri="{FF2B5EF4-FFF2-40B4-BE49-F238E27FC236}">
                <a16:creationId xmlns:a16="http://schemas.microsoft.com/office/drawing/2014/main" id="{3EA9ACFA-EE37-51C2-EA8E-4635D4AB836A}"/>
              </a:ext>
            </a:extLst>
          </xdr:cNvPr>
          <xdr:cNvSpPr>
            <a:spLocks noChangeArrowheads="1"/>
          </xdr:cNvSpPr>
        </xdr:nvSpPr>
        <xdr:spPr bwMode="auto">
          <a:xfrm>
            <a:off x="545226" y="2799047"/>
            <a:ext cx="5554004" cy="1241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617" name="Text Box 78">
            <a:extLst>
              <a:ext uri="{FF2B5EF4-FFF2-40B4-BE49-F238E27FC236}">
                <a16:creationId xmlns:a16="http://schemas.microsoft.com/office/drawing/2014/main" id="{529327D8-9F30-2988-2816-A46067015A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14796" y="4019380"/>
            <a:ext cx="1785414" cy="228216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27432" bIns="0" anchor="t" upright="1">
            <a:noAutofit/>
          </a:bodyPr>
          <a:lstStyle/>
          <a:p>
            <a:pPr algn="ct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道路区域（法面）</a:t>
            </a:r>
          </a:p>
        </xdr:txBody>
      </xdr:sp>
      <xdr:sp macro="" textlink="">
        <xdr:nvSpPr>
          <xdr:cNvPr id="42452" name="AutoShape 79">
            <a:extLst>
              <a:ext uri="{FF2B5EF4-FFF2-40B4-BE49-F238E27FC236}">
                <a16:creationId xmlns:a16="http://schemas.microsoft.com/office/drawing/2014/main" id="{0D8371A7-F824-1896-B5E6-D65FD91975C5}"/>
              </a:ext>
            </a:extLst>
          </xdr:cNvPr>
          <xdr:cNvSpPr>
            <a:spLocks noChangeArrowheads="1"/>
          </xdr:cNvSpPr>
        </xdr:nvSpPr>
        <xdr:spPr bwMode="auto">
          <a:xfrm>
            <a:off x="5109746" y="4750424"/>
            <a:ext cx="312245" cy="137950"/>
          </a:xfrm>
          <a:prstGeom prst="leftArrow">
            <a:avLst>
              <a:gd name="adj1" fmla="val 50000"/>
              <a:gd name="adj2" fmla="val 60003"/>
            </a:avLst>
          </a:prstGeom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ln w="9525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miter lim="800000"/>
            <a:headEnd/>
            <a:tailEnd/>
          </a:ln>
        </xdr:spPr>
      </xdr:sp>
      <xdr:sp macro="" textlink="">
        <xdr:nvSpPr>
          <xdr:cNvPr id="42453" name="AutoShape 80">
            <a:extLst>
              <a:ext uri="{FF2B5EF4-FFF2-40B4-BE49-F238E27FC236}">
                <a16:creationId xmlns:a16="http://schemas.microsoft.com/office/drawing/2014/main" id="{7EE5EB92-E605-9BEA-0B6B-6391F77D89A4}"/>
              </a:ext>
            </a:extLst>
          </xdr:cNvPr>
          <xdr:cNvSpPr>
            <a:spLocks noChangeArrowheads="1"/>
          </xdr:cNvSpPr>
        </xdr:nvSpPr>
        <xdr:spPr bwMode="auto">
          <a:xfrm>
            <a:off x="989337" y="4750424"/>
            <a:ext cx="308013" cy="137950"/>
          </a:xfrm>
          <a:prstGeom prst="leftArrow">
            <a:avLst>
              <a:gd name="adj1" fmla="val 50000"/>
              <a:gd name="adj2" fmla="val 59996"/>
            </a:avLst>
          </a:prstGeom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ln w="9525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miter lim="800000"/>
            <a:headEnd/>
            <a:tailEnd/>
          </a:ln>
        </xdr:spPr>
      </xdr:sp>
      <xdr:sp macro="" textlink="">
        <xdr:nvSpPr>
          <xdr:cNvPr id="4620" name="AutoShape 81">
            <a:extLst>
              <a:ext uri="{FF2B5EF4-FFF2-40B4-BE49-F238E27FC236}">
                <a16:creationId xmlns:a16="http://schemas.microsoft.com/office/drawing/2014/main" id="{33E735DB-DE35-353A-B43B-B659E6D0E4CD}"/>
              </a:ext>
            </a:extLst>
          </xdr:cNvPr>
          <xdr:cNvSpPr>
            <a:spLocks noChangeArrowheads="1"/>
          </xdr:cNvSpPr>
        </xdr:nvSpPr>
        <xdr:spPr bwMode="auto">
          <a:xfrm>
            <a:off x="1612772" y="4430169"/>
            <a:ext cx="1390072" cy="234737"/>
          </a:xfrm>
          <a:prstGeom prst="wedgeRectCallout">
            <a:avLst>
              <a:gd name="adj1" fmla="val -28301"/>
              <a:gd name="adj2" fmla="val 90907"/>
            </a:avLst>
          </a:prstGeom>
          <a:solidFill>
            <a:sysClr val="window" lastClr="FFFFFF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道路排水施設</a:t>
            </a:r>
          </a:p>
        </xdr:txBody>
      </xdr:sp>
      <xdr:sp macro="" textlink="">
        <xdr:nvSpPr>
          <xdr:cNvPr id="42455" name="Rectangle 55">
            <a:extLst>
              <a:ext uri="{FF2B5EF4-FFF2-40B4-BE49-F238E27FC236}">
                <a16:creationId xmlns:a16="http://schemas.microsoft.com/office/drawing/2014/main" id="{4759DABB-7E6E-F9E2-0AA4-76E3653A8596}"/>
              </a:ext>
            </a:extLst>
          </xdr:cNvPr>
          <xdr:cNvSpPr>
            <a:spLocks noChangeArrowheads="1"/>
          </xdr:cNvSpPr>
        </xdr:nvSpPr>
        <xdr:spPr bwMode="auto">
          <a:xfrm>
            <a:off x="114300" y="4553060"/>
            <a:ext cx="158240" cy="238749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456" name="AutoShape 83">
            <a:extLst>
              <a:ext uri="{FF2B5EF4-FFF2-40B4-BE49-F238E27FC236}">
                <a16:creationId xmlns:a16="http://schemas.microsoft.com/office/drawing/2014/main" id="{595F5E2E-D83E-0E5D-A2D9-7A9802A9D079}"/>
              </a:ext>
            </a:extLst>
          </xdr:cNvPr>
          <xdr:cNvSpPr>
            <a:spLocks noChangeArrowheads="1"/>
          </xdr:cNvSpPr>
        </xdr:nvSpPr>
        <xdr:spPr bwMode="auto">
          <a:xfrm rot="549951">
            <a:off x="1090597" y="2964588"/>
            <a:ext cx="246313" cy="1785836"/>
          </a:xfrm>
          <a:prstGeom prst="downArrow">
            <a:avLst>
              <a:gd name="adj1" fmla="val 50000"/>
              <a:gd name="adj2" fmla="val 167092"/>
            </a:avLst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8000" mc:Ignorable="a14" a14:legacySpreadsheetColorIndex="17"/>
            </a:solidFill>
            <a:miter lim="800000"/>
            <a:headEnd/>
            <a:tailEnd/>
          </a:ln>
        </xdr:spPr>
      </xdr:sp>
      <xdr:sp macro="" textlink="">
        <xdr:nvSpPr>
          <xdr:cNvPr id="4623" name="Rectangle 84">
            <a:extLst>
              <a:ext uri="{FF2B5EF4-FFF2-40B4-BE49-F238E27FC236}">
                <a16:creationId xmlns:a16="http://schemas.microsoft.com/office/drawing/2014/main" id="{7DC5410F-62B9-5A20-007B-AC94FC1D0134}"/>
              </a:ext>
            </a:extLst>
          </xdr:cNvPr>
          <xdr:cNvSpPr>
            <a:spLocks noChangeArrowheads="1"/>
          </xdr:cNvSpPr>
        </xdr:nvSpPr>
        <xdr:spPr bwMode="auto">
          <a:xfrm>
            <a:off x="1128160" y="2715286"/>
            <a:ext cx="4138335" cy="221696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8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地形的に想定される集水区域からの雨水流入</a:t>
            </a:r>
          </a:p>
        </xdr:txBody>
      </xdr:sp>
      <xdr:sp macro="" textlink="">
        <xdr:nvSpPr>
          <xdr:cNvPr id="4624" name="Text Box 85">
            <a:extLst>
              <a:ext uri="{FF2B5EF4-FFF2-40B4-BE49-F238E27FC236}">
                <a16:creationId xmlns:a16="http://schemas.microsoft.com/office/drawing/2014/main" id="{EBF82E4C-8103-D509-4021-95EDF638D4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77644" y="6092889"/>
            <a:ext cx="1275296" cy="228216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27432" bIns="0" anchor="t" upright="1">
            <a:noAutofit/>
          </a:bodyPr>
          <a:lstStyle/>
          <a:p>
            <a:pPr algn="ct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田など</a:t>
            </a:r>
          </a:p>
        </xdr:txBody>
      </xdr:sp>
      <xdr:sp macro="" textlink="">
        <xdr:nvSpPr>
          <xdr:cNvPr id="42459" name="Rectangle 56">
            <a:extLst>
              <a:ext uri="{FF2B5EF4-FFF2-40B4-BE49-F238E27FC236}">
                <a16:creationId xmlns:a16="http://schemas.microsoft.com/office/drawing/2014/main" id="{FE6FB057-35EE-C5B4-239C-AB249AC2FAD6}"/>
              </a:ext>
            </a:extLst>
          </xdr:cNvPr>
          <xdr:cNvSpPr>
            <a:spLocks noChangeArrowheads="1"/>
          </xdr:cNvSpPr>
        </xdr:nvSpPr>
        <xdr:spPr bwMode="auto">
          <a:xfrm>
            <a:off x="6125603" y="4695244"/>
            <a:ext cx="127632" cy="219012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616" name="Text Box 77">
            <a:extLst>
              <a:ext uri="{FF2B5EF4-FFF2-40B4-BE49-F238E27FC236}">
                <a16:creationId xmlns:a16="http://schemas.microsoft.com/office/drawing/2014/main" id="{E139826F-7BF8-EF22-9C1B-52573B4781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16514" y="3054350"/>
            <a:ext cx="2607980" cy="541199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27432" bIns="0" anchor="t" upright="1">
            <a:noAutofit/>
          </a:bodyPr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地形的に想定される集水区域からの</a:t>
            </a:r>
            <a:endPara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雨水流入量（道路区域外）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A5818D00-D87F-998E-3205-5D946E3D5CDE}"/>
              </a:ext>
            </a:extLst>
          </xdr:cNvPr>
          <xdr:cNvSpPr txBox="1"/>
        </xdr:nvSpPr>
        <xdr:spPr>
          <a:xfrm>
            <a:off x="1580890" y="5636456"/>
            <a:ext cx="401718" cy="3260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kumimoji="1" lang="ja-JP" altLang="en-US" sz="1400">
                <a:solidFill>
                  <a:srgbClr val="FF0000"/>
                </a:solidFill>
                <a:latin typeface="+mn-ea"/>
                <a:ea typeface="+mn-ea"/>
              </a:rPr>
              <a:t>①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8B52B442-EFAD-2A96-073F-F450477CE6DB}"/>
              </a:ext>
            </a:extLst>
          </xdr:cNvPr>
          <xdr:cNvSpPr txBox="1"/>
        </xdr:nvSpPr>
        <xdr:spPr>
          <a:xfrm>
            <a:off x="3672375" y="3960695"/>
            <a:ext cx="395342" cy="3260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kumimoji="1" lang="ja-JP" altLang="en-US" sz="1400">
                <a:solidFill>
                  <a:srgbClr val="FF0000"/>
                </a:solidFill>
                <a:latin typeface="+mn-ea"/>
                <a:ea typeface="+mn-ea"/>
              </a:rPr>
              <a:t>①</a:t>
            </a: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B1F59FA6-0FB5-34B7-635C-C3B2F2F7683C}"/>
              </a:ext>
            </a:extLst>
          </xdr:cNvPr>
          <xdr:cNvSpPr txBox="1"/>
        </xdr:nvSpPr>
        <xdr:spPr>
          <a:xfrm>
            <a:off x="2518232" y="4873561"/>
            <a:ext cx="350706" cy="3195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kumimoji="1" lang="ja-JP" altLang="en-US" sz="1400">
                <a:solidFill>
                  <a:srgbClr val="FF0000"/>
                </a:solidFill>
                <a:latin typeface="+mn-ea"/>
                <a:ea typeface="+mn-ea"/>
              </a:rPr>
              <a:t>③</a:t>
            </a:r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B3C636DF-FB04-263B-D34F-EE08257BECAE}"/>
              </a:ext>
            </a:extLst>
          </xdr:cNvPr>
          <xdr:cNvSpPr txBox="1"/>
        </xdr:nvSpPr>
        <xdr:spPr>
          <a:xfrm>
            <a:off x="1740302" y="3973736"/>
            <a:ext cx="357083" cy="3260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kumimoji="1" lang="ja-JP" altLang="en-US" sz="1400">
                <a:solidFill>
                  <a:srgbClr val="FF0000"/>
                </a:solidFill>
                <a:latin typeface="+mn-ea"/>
                <a:ea typeface="+mn-ea"/>
              </a:rPr>
              <a:t>④</a:t>
            </a:r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EB5974C1-29D6-AB71-B6CF-5FAA115DD50C}"/>
              </a:ext>
            </a:extLst>
          </xdr:cNvPr>
          <xdr:cNvSpPr txBox="1"/>
        </xdr:nvSpPr>
        <xdr:spPr>
          <a:xfrm>
            <a:off x="1823196" y="5630269"/>
            <a:ext cx="357083" cy="3260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kumimoji="1" lang="ja-JP" altLang="en-US" sz="1400">
                <a:solidFill>
                  <a:srgbClr val="FF0000"/>
                </a:solidFill>
                <a:latin typeface="+mn-ea"/>
                <a:ea typeface="+mn-ea"/>
              </a:rPr>
              <a:t>②</a:t>
            </a:r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A0D77557-09A0-330C-5678-09FCC7B1625E}"/>
              </a:ext>
            </a:extLst>
          </xdr:cNvPr>
          <xdr:cNvSpPr txBox="1"/>
        </xdr:nvSpPr>
        <xdr:spPr>
          <a:xfrm>
            <a:off x="3940187" y="3954175"/>
            <a:ext cx="350706" cy="3260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kumimoji="1" lang="ja-JP" altLang="en-US" sz="1400">
                <a:solidFill>
                  <a:srgbClr val="FF0000"/>
                </a:solidFill>
                <a:latin typeface="+mn-ea"/>
                <a:ea typeface="+mn-ea"/>
              </a:rPr>
              <a:t>②</a:t>
            </a: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A5EC2CAC-DD8F-8B7E-F083-F5FD591FA79F}"/>
              </a:ext>
            </a:extLst>
          </xdr:cNvPr>
          <xdr:cNvSpPr txBox="1"/>
        </xdr:nvSpPr>
        <xdr:spPr>
          <a:xfrm>
            <a:off x="2518232" y="5146765"/>
            <a:ext cx="350706" cy="3325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kumimoji="1" lang="ja-JP" altLang="en-US" sz="1400">
                <a:solidFill>
                  <a:srgbClr val="FF0000"/>
                </a:solidFill>
                <a:latin typeface="+mn-ea"/>
                <a:ea typeface="+mn-ea"/>
              </a:rPr>
              <a:t>③</a:t>
            </a:r>
          </a:p>
        </xdr:txBody>
      </xdr:sp>
      <xdr:sp macro="" textlink="">
        <xdr:nvSpPr>
          <xdr:cNvPr id="19138" name="テキスト ボックス 19137">
            <a:extLst>
              <a:ext uri="{FF2B5EF4-FFF2-40B4-BE49-F238E27FC236}">
                <a16:creationId xmlns:a16="http://schemas.microsoft.com/office/drawing/2014/main" id="{987FA2C9-9774-754D-A204-22AEA192825A}"/>
              </a:ext>
            </a:extLst>
          </xdr:cNvPr>
          <xdr:cNvSpPr txBox="1"/>
        </xdr:nvSpPr>
        <xdr:spPr>
          <a:xfrm>
            <a:off x="1835949" y="3015227"/>
            <a:ext cx="357083" cy="3260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kumimoji="1" lang="ja-JP" altLang="en-US" sz="1400">
                <a:solidFill>
                  <a:srgbClr val="FF0000"/>
                </a:solidFill>
                <a:latin typeface="+mn-ea"/>
                <a:ea typeface="+mn-ea"/>
              </a:rPr>
              <a:t>⑤</a:t>
            </a:r>
          </a:p>
        </xdr:txBody>
      </xdr:sp>
    </xdr:grpSp>
    <xdr:clientData/>
  </xdr:twoCellAnchor>
  <xdr:oneCellAnchor>
    <xdr:from>
      <xdr:col>29</xdr:col>
      <xdr:colOff>1111</xdr:colOff>
      <xdr:row>39</xdr:row>
      <xdr:rowOff>234950</xdr:rowOff>
    </xdr:from>
    <xdr:ext cx="330517" cy="325730"/>
    <xdr:sp macro="" textlink="">
      <xdr:nvSpPr>
        <xdr:cNvPr id="19139" name="テキスト ボックス 19138">
          <a:extLst>
            <a:ext uri="{FF2B5EF4-FFF2-40B4-BE49-F238E27FC236}">
              <a16:creationId xmlns:a16="http://schemas.microsoft.com/office/drawing/2014/main" id="{39AD6CFE-DFD5-E6F3-13F7-A2E1DFB45A66}"/>
            </a:ext>
          </a:extLst>
        </xdr:cNvPr>
        <xdr:cNvSpPr txBox="1"/>
      </xdr:nvSpPr>
      <xdr:spPr>
        <a:xfrm>
          <a:off x="9602311" y="9870017"/>
          <a:ext cx="330517" cy="325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⑤</a:t>
          </a:r>
        </a:p>
      </xdr:txBody>
    </xdr:sp>
    <xdr:clientData/>
  </xdr:oneCellAnchor>
  <xdr:oneCellAnchor>
    <xdr:from>
      <xdr:col>1</xdr:col>
      <xdr:colOff>55033</xdr:colOff>
      <xdr:row>41</xdr:row>
      <xdr:rowOff>232833</xdr:rowOff>
    </xdr:from>
    <xdr:ext cx="362724" cy="426053"/>
    <xdr:sp macro="" textlink="">
      <xdr:nvSpPr>
        <xdr:cNvPr id="19140" name="テキスト ボックス 19139">
          <a:extLst>
            <a:ext uri="{FF2B5EF4-FFF2-40B4-BE49-F238E27FC236}">
              <a16:creationId xmlns:a16="http://schemas.microsoft.com/office/drawing/2014/main" id="{607AAFAD-CF77-6E81-713D-A624776A67B6}"/>
            </a:ext>
          </a:extLst>
        </xdr:cNvPr>
        <xdr:cNvSpPr txBox="1"/>
      </xdr:nvSpPr>
      <xdr:spPr>
        <a:xfrm>
          <a:off x="429683" y="10488083"/>
          <a:ext cx="374996" cy="3877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④</a:t>
          </a:r>
        </a:p>
      </xdr:txBody>
    </xdr:sp>
    <xdr:clientData/>
  </xdr:oneCellAnchor>
  <xdr:oneCellAnchor>
    <xdr:from>
      <xdr:col>26</xdr:col>
      <xdr:colOff>166158</xdr:colOff>
      <xdr:row>0</xdr:row>
      <xdr:rowOff>187325</xdr:rowOff>
    </xdr:from>
    <xdr:ext cx="336996" cy="325730"/>
    <xdr:sp macro="" textlink="">
      <xdr:nvSpPr>
        <xdr:cNvPr id="19141" name="テキスト ボックス 19140">
          <a:extLst>
            <a:ext uri="{FF2B5EF4-FFF2-40B4-BE49-F238E27FC236}">
              <a16:creationId xmlns:a16="http://schemas.microsoft.com/office/drawing/2014/main" id="{E47CD1E9-3DA9-0CD9-77B5-24873E865C6B}"/>
            </a:ext>
          </a:extLst>
        </xdr:cNvPr>
        <xdr:cNvSpPr txBox="1"/>
      </xdr:nvSpPr>
      <xdr:spPr>
        <a:xfrm>
          <a:off x="8802158" y="187325"/>
          <a:ext cx="336996" cy="325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⑤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43</xdr:row>
      <xdr:rowOff>38100</xdr:rowOff>
    </xdr:from>
    <xdr:to>
      <xdr:col>2</xdr:col>
      <xdr:colOff>196850</xdr:colOff>
      <xdr:row>43</xdr:row>
      <xdr:rowOff>228600</xdr:rowOff>
    </xdr:to>
    <xdr:sp macro="" textlink="">
      <xdr:nvSpPr>
        <xdr:cNvPr id="13968" name="AutoShape 46">
          <a:extLst>
            <a:ext uri="{FF2B5EF4-FFF2-40B4-BE49-F238E27FC236}">
              <a16:creationId xmlns:a16="http://schemas.microsoft.com/office/drawing/2014/main" id="{BEDAE835-2EA8-2539-E80A-78F6939866C5}"/>
            </a:ext>
          </a:extLst>
        </xdr:cNvPr>
        <xdr:cNvSpPr>
          <a:spLocks noChangeArrowheads="1"/>
        </xdr:cNvSpPr>
      </xdr:nvSpPr>
      <xdr:spPr bwMode="auto">
        <a:xfrm>
          <a:off x="463550" y="7302500"/>
          <a:ext cx="279400" cy="127000"/>
        </a:xfrm>
        <a:prstGeom prst="downArrow">
          <a:avLst>
            <a:gd name="adj1" fmla="val 39130"/>
            <a:gd name="adj2" fmla="val 4762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24</xdr:col>
      <xdr:colOff>245717</xdr:colOff>
      <xdr:row>24</xdr:row>
      <xdr:rowOff>162340</xdr:rowOff>
    </xdr:from>
    <xdr:ext cx="2434064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89EC225-0143-1474-F551-F42E8E4B5387}"/>
            </a:ext>
          </a:extLst>
        </xdr:cNvPr>
        <xdr:cNvSpPr txBox="1"/>
      </xdr:nvSpPr>
      <xdr:spPr>
        <a:xfrm>
          <a:off x="6798917" y="4150140"/>
          <a:ext cx="2434064" cy="27571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←使用しないものは削除してください。</a:t>
          </a:r>
        </a:p>
      </xdr:txBody>
    </xdr:sp>
    <xdr:clientData/>
  </xdr:oneCellAnchor>
  <xdr:twoCellAnchor>
    <xdr:from>
      <xdr:col>12</xdr:col>
      <xdr:colOff>196850</xdr:colOff>
      <xdr:row>43</xdr:row>
      <xdr:rowOff>57150</xdr:rowOff>
    </xdr:from>
    <xdr:to>
      <xdr:col>13</xdr:col>
      <xdr:colOff>209550</xdr:colOff>
      <xdr:row>44</xdr:row>
      <xdr:rowOff>0</xdr:rowOff>
    </xdr:to>
    <xdr:sp macro="" textlink="">
      <xdr:nvSpPr>
        <xdr:cNvPr id="13970" name="AutoShape 46">
          <a:extLst>
            <a:ext uri="{FF2B5EF4-FFF2-40B4-BE49-F238E27FC236}">
              <a16:creationId xmlns:a16="http://schemas.microsoft.com/office/drawing/2014/main" id="{5C272B02-D028-39E3-36B5-869B881DD5D5}"/>
            </a:ext>
          </a:extLst>
        </xdr:cNvPr>
        <xdr:cNvSpPr>
          <a:spLocks noChangeArrowheads="1"/>
        </xdr:cNvSpPr>
      </xdr:nvSpPr>
      <xdr:spPr bwMode="auto">
        <a:xfrm>
          <a:off x="3473450" y="7321550"/>
          <a:ext cx="285750" cy="107950"/>
        </a:xfrm>
        <a:prstGeom prst="downArrow">
          <a:avLst>
            <a:gd name="adj1" fmla="val 39130"/>
            <a:gd name="adj2" fmla="val 4762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242542</xdr:colOff>
      <xdr:row>23</xdr:row>
      <xdr:rowOff>415</xdr:rowOff>
    </xdr:from>
    <xdr:ext cx="2434064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F784C3C-751D-2DD2-8CE9-502FD6B0C4AB}"/>
            </a:ext>
          </a:extLst>
        </xdr:cNvPr>
        <xdr:cNvSpPr txBox="1"/>
      </xdr:nvSpPr>
      <xdr:spPr>
        <a:xfrm>
          <a:off x="6795742" y="3810415"/>
          <a:ext cx="2434064" cy="27571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←使用しないものは削除してください。</a:t>
          </a:r>
        </a:p>
      </xdr:txBody>
    </xdr:sp>
    <xdr:clientData/>
  </xdr:oneCellAnchor>
  <xdr:twoCellAnchor>
    <xdr:from>
      <xdr:col>1</xdr:col>
      <xdr:colOff>196850</xdr:colOff>
      <xdr:row>41</xdr:row>
      <xdr:rowOff>57150</xdr:rowOff>
    </xdr:from>
    <xdr:to>
      <xdr:col>2</xdr:col>
      <xdr:colOff>215900</xdr:colOff>
      <xdr:row>42</xdr:row>
      <xdr:rowOff>0</xdr:rowOff>
    </xdr:to>
    <xdr:sp macro="" textlink="">
      <xdr:nvSpPr>
        <xdr:cNvPr id="14983" name="AutoShape 46">
          <a:extLst>
            <a:ext uri="{FF2B5EF4-FFF2-40B4-BE49-F238E27FC236}">
              <a16:creationId xmlns:a16="http://schemas.microsoft.com/office/drawing/2014/main" id="{89466EB9-D652-E0B4-6864-4CC7726C656D}"/>
            </a:ext>
          </a:extLst>
        </xdr:cNvPr>
        <xdr:cNvSpPr>
          <a:spLocks noChangeArrowheads="1"/>
        </xdr:cNvSpPr>
      </xdr:nvSpPr>
      <xdr:spPr bwMode="auto">
        <a:xfrm>
          <a:off x="469900" y="6978650"/>
          <a:ext cx="292100" cy="107950"/>
        </a:xfrm>
        <a:prstGeom prst="downArrow">
          <a:avLst>
            <a:gd name="adj1" fmla="val 39130"/>
            <a:gd name="adj2" fmla="val 4762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196850</xdr:colOff>
      <xdr:row>41</xdr:row>
      <xdr:rowOff>50800</xdr:rowOff>
    </xdr:from>
    <xdr:to>
      <xdr:col>13</xdr:col>
      <xdr:colOff>215900</xdr:colOff>
      <xdr:row>41</xdr:row>
      <xdr:rowOff>228600</xdr:rowOff>
    </xdr:to>
    <xdr:sp macro="" textlink="">
      <xdr:nvSpPr>
        <xdr:cNvPr id="14984" name="AutoShape 46">
          <a:extLst>
            <a:ext uri="{FF2B5EF4-FFF2-40B4-BE49-F238E27FC236}">
              <a16:creationId xmlns:a16="http://schemas.microsoft.com/office/drawing/2014/main" id="{5726BB79-2A0D-BC3A-A24A-14AE9A429A41}"/>
            </a:ext>
          </a:extLst>
        </xdr:cNvPr>
        <xdr:cNvSpPr>
          <a:spLocks noChangeArrowheads="1"/>
        </xdr:cNvSpPr>
      </xdr:nvSpPr>
      <xdr:spPr bwMode="auto">
        <a:xfrm>
          <a:off x="3473450" y="6972300"/>
          <a:ext cx="292100" cy="114300"/>
        </a:xfrm>
        <a:prstGeom prst="downArrow">
          <a:avLst>
            <a:gd name="adj1" fmla="val 39130"/>
            <a:gd name="adj2" fmla="val 4762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401731</xdr:colOff>
      <xdr:row>6</xdr:row>
      <xdr:rowOff>1494</xdr:rowOff>
    </xdr:from>
    <xdr:ext cx="3205749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E1CBB0-C275-AA37-45CC-0F6E33F4D6EA}"/>
            </a:ext>
          </a:extLst>
        </xdr:cNvPr>
        <xdr:cNvSpPr txBox="1"/>
      </xdr:nvSpPr>
      <xdr:spPr>
        <a:xfrm>
          <a:off x="4931398" y="1440827"/>
          <a:ext cx="3205749" cy="45910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←この条件下以外では、このシートは使えません！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　これを超える場合は別途相談のこと！</a:t>
          </a:r>
        </a:p>
      </xdr:txBody>
    </xdr:sp>
    <xdr:clientData/>
  </xdr:oneCellAnchor>
  <xdr:twoCellAnchor editAs="oneCell">
    <xdr:from>
      <xdr:col>1</xdr:col>
      <xdr:colOff>6350</xdr:colOff>
      <xdr:row>65</xdr:row>
      <xdr:rowOff>203200</xdr:rowOff>
    </xdr:from>
    <xdr:to>
      <xdr:col>9</xdr:col>
      <xdr:colOff>869950</xdr:colOff>
      <xdr:row>78</xdr:row>
      <xdr:rowOff>12700</xdr:rowOff>
    </xdr:to>
    <xdr:pic>
      <xdr:nvPicPr>
        <xdr:cNvPr id="43047" name="図 4">
          <a:extLst>
            <a:ext uri="{FF2B5EF4-FFF2-40B4-BE49-F238E27FC236}">
              <a16:creationId xmlns:a16="http://schemas.microsoft.com/office/drawing/2014/main" id="{B878F1EA-04B2-748F-0626-064DB8267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014450"/>
          <a:ext cx="6419850" cy="199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</xdr:colOff>
      <xdr:row>78</xdr:row>
      <xdr:rowOff>114300</xdr:rowOff>
    </xdr:from>
    <xdr:to>
      <xdr:col>5</xdr:col>
      <xdr:colOff>266700</xdr:colOff>
      <xdr:row>88</xdr:row>
      <xdr:rowOff>38100</xdr:rowOff>
    </xdr:to>
    <xdr:pic>
      <xdr:nvPicPr>
        <xdr:cNvPr id="43048" name="図 5">
          <a:extLst>
            <a:ext uri="{FF2B5EF4-FFF2-40B4-BE49-F238E27FC236}">
              <a16:creationId xmlns:a16="http://schemas.microsoft.com/office/drawing/2014/main" id="{C677CDC2-BB6F-E02A-02F5-0CA0761E6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09950"/>
          <a:ext cx="3384550" cy="157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90</xdr:row>
      <xdr:rowOff>38100</xdr:rowOff>
    </xdr:from>
    <xdr:to>
      <xdr:col>8</xdr:col>
      <xdr:colOff>381000</xdr:colOff>
      <xdr:row>97</xdr:row>
      <xdr:rowOff>152400</xdr:rowOff>
    </xdr:to>
    <xdr:pic>
      <xdr:nvPicPr>
        <xdr:cNvPr id="43049" name="図 6">
          <a:extLst>
            <a:ext uri="{FF2B5EF4-FFF2-40B4-BE49-F238E27FC236}">
              <a16:creationId xmlns:a16="http://schemas.microsoft.com/office/drawing/2014/main" id="{7DB83C61-FD97-59D1-E313-444400DB4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8014950"/>
          <a:ext cx="527050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698500</xdr:colOff>
      <xdr:row>80</xdr:row>
      <xdr:rowOff>0</xdr:rowOff>
    </xdr:from>
    <xdr:to>
      <xdr:col>12</xdr:col>
      <xdr:colOff>31750</xdr:colOff>
      <xdr:row>89</xdr:row>
      <xdr:rowOff>0</xdr:rowOff>
    </xdr:to>
    <xdr:pic>
      <xdr:nvPicPr>
        <xdr:cNvPr id="43050" name="図 10">
          <a:extLst>
            <a:ext uri="{FF2B5EF4-FFF2-40B4-BE49-F238E27FC236}">
              <a16:creationId xmlns:a16="http://schemas.microsoft.com/office/drawing/2014/main" id="{555E257F-AC96-D49D-4861-E447DFE06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7950" y="16325850"/>
          <a:ext cx="4362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146050</xdr:colOff>
      <xdr:row>99</xdr:row>
      <xdr:rowOff>107950</xdr:rowOff>
    </xdr:from>
    <xdr:to>
      <xdr:col>6</xdr:col>
      <xdr:colOff>1003300</xdr:colOff>
      <xdr:row>108</xdr:row>
      <xdr:rowOff>190500</xdr:rowOff>
    </xdr:to>
    <xdr:grpSp>
      <xdr:nvGrpSpPr>
        <xdr:cNvPr id="43051" name="グループ化 16">
          <a:extLst>
            <a:ext uri="{FF2B5EF4-FFF2-40B4-BE49-F238E27FC236}">
              <a16:creationId xmlns:a16="http://schemas.microsoft.com/office/drawing/2014/main" id="{B2D52F2E-C38F-C965-7712-4E72C921DF93}"/>
            </a:ext>
          </a:extLst>
        </xdr:cNvPr>
        <xdr:cNvGrpSpPr>
          <a:grpSpLocks/>
        </xdr:cNvGrpSpPr>
      </xdr:nvGrpSpPr>
      <xdr:grpSpPr bwMode="auto">
        <a:xfrm>
          <a:off x="349250" y="20377150"/>
          <a:ext cx="4603750" cy="1663700"/>
          <a:chOff x="361016" y="19259549"/>
          <a:chExt cx="5144434" cy="2009776"/>
        </a:xfrm>
      </xdr:grpSpPr>
      <xdr:grpSp>
        <xdr:nvGrpSpPr>
          <xdr:cNvPr id="43058" name="グループ化 13">
            <a:extLst>
              <a:ext uri="{FF2B5EF4-FFF2-40B4-BE49-F238E27FC236}">
                <a16:creationId xmlns:a16="http://schemas.microsoft.com/office/drawing/2014/main" id="{E371F7E8-FD92-A050-AC6B-923991E5BBB3}"/>
              </a:ext>
            </a:extLst>
          </xdr:cNvPr>
          <xdr:cNvGrpSpPr>
            <a:grpSpLocks/>
          </xdr:cNvGrpSpPr>
        </xdr:nvGrpSpPr>
        <xdr:grpSpPr bwMode="auto">
          <a:xfrm>
            <a:off x="364191" y="19660348"/>
            <a:ext cx="5138084" cy="1605802"/>
            <a:chOff x="259416" y="19041223"/>
            <a:chExt cx="4320802" cy="1295824"/>
          </a:xfrm>
        </xdr:grpSpPr>
        <xdr:pic>
          <xdr:nvPicPr>
            <xdr:cNvPr id="43060" name="図 12">
              <a:extLst>
                <a:ext uri="{FF2B5EF4-FFF2-40B4-BE49-F238E27FC236}">
                  <a16:creationId xmlns:a16="http://schemas.microsoft.com/office/drawing/2014/main" id="{B3255C6F-EF41-82E9-EBDB-BF377979758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9416" y="19041223"/>
              <a:ext cx="4320802" cy="129582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9" name="正方形/長方形 8">
              <a:extLst>
                <a:ext uri="{FF2B5EF4-FFF2-40B4-BE49-F238E27FC236}">
                  <a16:creationId xmlns:a16="http://schemas.microsoft.com/office/drawing/2014/main" id="{B4608D28-5F14-F2BC-AA28-CB13C0899841}"/>
                </a:ext>
              </a:extLst>
            </xdr:cNvPr>
            <xdr:cNvSpPr/>
          </xdr:nvSpPr>
          <xdr:spPr bwMode="auto">
            <a:xfrm>
              <a:off x="1639800" y="20032599"/>
              <a:ext cx="2864430" cy="220247"/>
            </a:xfrm>
            <a:prstGeom prst="rect">
              <a:avLst/>
            </a:prstGeom>
            <a:noFill/>
            <a:ln w="38100" cap="flat" cmpd="sng" algn="ctr">
              <a:solidFill>
                <a:srgbClr val="FF0000">
                  <a:alpha val="50196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C34FC26C-CAFB-61B2-37B6-F6D33CEE9F3A}"/>
                </a:ext>
              </a:extLst>
            </xdr:cNvPr>
            <xdr:cNvSpPr/>
          </xdr:nvSpPr>
          <xdr:spPr bwMode="auto">
            <a:xfrm>
              <a:off x="1626690" y="19471971"/>
              <a:ext cx="2890649" cy="180202"/>
            </a:xfrm>
            <a:prstGeom prst="rect">
              <a:avLst/>
            </a:prstGeom>
            <a:noFill/>
            <a:ln w="38100" cap="flat" cmpd="sng" algn="ctr">
              <a:solidFill>
                <a:srgbClr val="FF0000">
                  <a:alpha val="50196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kumimoji="1" lang="ja-JP" altLang="en-US" sz="1100"/>
            </a:p>
          </xdr:txBody>
        </xdr:sp>
      </xdr:grpSp>
      <xdr:pic>
        <xdr:nvPicPr>
          <xdr:cNvPr id="43059" name="図 15">
            <a:extLst>
              <a:ext uri="{FF2B5EF4-FFF2-40B4-BE49-F238E27FC236}">
                <a16:creationId xmlns:a16="http://schemas.microsoft.com/office/drawing/2014/main" id="{9E307472-0EC0-8E15-A270-5F51BD4CBC7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675" y="19259549"/>
            <a:ext cx="4980424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6350</xdr:colOff>
      <xdr:row>39</xdr:row>
      <xdr:rowOff>228600</xdr:rowOff>
    </xdr:from>
    <xdr:to>
      <xdr:col>7</xdr:col>
      <xdr:colOff>736600</xdr:colOff>
      <xdr:row>65</xdr:row>
      <xdr:rowOff>57150</xdr:rowOff>
    </xdr:to>
    <xdr:grpSp>
      <xdr:nvGrpSpPr>
        <xdr:cNvPr id="43052" name="グループ化 18">
          <a:extLst>
            <a:ext uri="{FF2B5EF4-FFF2-40B4-BE49-F238E27FC236}">
              <a16:creationId xmlns:a16="http://schemas.microsoft.com/office/drawing/2014/main" id="{D74C1CF7-4638-0B2A-7FA5-2968C3511960}"/>
            </a:ext>
          </a:extLst>
        </xdr:cNvPr>
        <xdr:cNvGrpSpPr>
          <a:grpSpLocks/>
        </xdr:cNvGrpSpPr>
      </xdr:nvGrpSpPr>
      <xdr:grpSpPr bwMode="auto">
        <a:xfrm>
          <a:off x="209550" y="9772650"/>
          <a:ext cx="5413375" cy="4508500"/>
          <a:chOff x="185646" y="9553762"/>
          <a:chExt cx="4447240" cy="3964236"/>
        </a:xfrm>
      </xdr:grpSpPr>
      <xdr:pic>
        <xdr:nvPicPr>
          <xdr:cNvPr id="43056" name="図 3">
            <a:extLst>
              <a:ext uri="{FF2B5EF4-FFF2-40B4-BE49-F238E27FC236}">
                <a16:creationId xmlns:a16="http://schemas.microsoft.com/office/drawing/2014/main" id="{C0DEE191-239F-DF9C-0412-9CDA791FD9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5646" y="9553762"/>
            <a:ext cx="4447240" cy="39642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E85D1BAB-640D-A1C8-3950-EF97065DCC49}"/>
              </a:ext>
            </a:extLst>
          </xdr:cNvPr>
          <xdr:cNvSpPr/>
        </xdr:nvSpPr>
        <xdr:spPr bwMode="auto">
          <a:xfrm>
            <a:off x="1643289" y="11286235"/>
            <a:ext cx="2806677" cy="258668"/>
          </a:xfrm>
          <a:prstGeom prst="rect">
            <a:avLst/>
          </a:prstGeom>
          <a:noFill/>
          <a:ln w="38100" cap="flat" cmpd="sng" algn="ctr">
            <a:solidFill>
              <a:srgbClr val="FF0000">
                <a:alpha val="50196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5</xdr:col>
      <xdr:colOff>564590</xdr:colOff>
      <xdr:row>16</xdr:row>
      <xdr:rowOff>112058</xdr:rowOff>
    </xdr:from>
    <xdr:ext cx="2086854" cy="28854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19A168C-4814-C94B-B46E-E5C518467B2D}"/>
            </a:ext>
          </a:extLst>
        </xdr:cNvPr>
        <xdr:cNvSpPr txBox="1"/>
      </xdr:nvSpPr>
      <xdr:spPr>
        <a:xfrm>
          <a:off x="3241115" y="4061758"/>
          <a:ext cx="2207062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（舗装構成から平均空隙率）</a:t>
          </a:r>
        </a:p>
      </xdr:txBody>
    </xdr:sp>
    <xdr:clientData/>
  </xdr:oneCellAnchor>
  <xdr:twoCellAnchor>
    <xdr:from>
      <xdr:col>6</xdr:col>
      <xdr:colOff>74706</xdr:colOff>
      <xdr:row>17</xdr:row>
      <xdr:rowOff>134471</xdr:rowOff>
    </xdr:from>
    <xdr:to>
      <xdr:col>8</xdr:col>
      <xdr:colOff>592593</xdr:colOff>
      <xdr:row>17</xdr:row>
      <xdr:rowOff>134471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DFAB6347-2C21-2378-EC70-00786F6FFC54}"/>
            </a:ext>
          </a:extLst>
        </xdr:cNvPr>
        <xdr:cNvCxnSpPr/>
      </xdr:nvCxnSpPr>
      <xdr:spPr>
        <a:xfrm>
          <a:off x="3570941" y="4116295"/>
          <a:ext cx="1808883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15876</xdr:colOff>
      <xdr:row>27</xdr:row>
      <xdr:rowOff>15875</xdr:rowOff>
    </xdr:from>
    <xdr:ext cx="2308153" cy="75152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352A5A-53FA-3CBF-4C2C-661148FDF112}"/>
            </a:ext>
          </a:extLst>
        </xdr:cNvPr>
        <xdr:cNvSpPr txBox="1"/>
      </xdr:nvSpPr>
      <xdr:spPr>
        <a:xfrm>
          <a:off x="5737226" y="6791325"/>
          <a:ext cx="2314547" cy="67454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100"/>
            </a:lnSpc>
          </a:pPr>
          <a:r>
            <a:rPr kumimoji="1" lang="ja-JP" altLang="en-US" sz="900">
              <a:latin typeface="+mn-ea"/>
              <a:ea typeface="+mn-ea"/>
            </a:rPr>
            <a:t>例：平均空隙率算出方法</a:t>
          </a:r>
          <a:endParaRPr kumimoji="1" lang="en-US" altLang="ja-JP" sz="900">
            <a:latin typeface="+mn-ea"/>
            <a:ea typeface="+mn-ea"/>
          </a:endParaRPr>
        </a:p>
        <a:p>
          <a:pPr>
            <a:lnSpc>
              <a:spcPts val="1100"/>
            </a:lnSpc>
          </a:pPr>
          <a:r>
            <a:rPr kumimoji="1" lang="ja-JP" altLang="en-US" sz="900">
              <a:latin typeface="+mn-ea"/>
              <a:ea typeface="+mn-ea"/>
            </a:rPr>
            <a:t>クラッシャーラン </a:t>
          </a:r>
          <a:r>
            <a:rPr kumimoji="1" lang="en-US" altLang="ja-JP" sz="900">
              <a:latin typeface="+mn-ea"/>
              <a:ea typeface="+mn-ea"/>
            </a:rPr>
            <a:t>10cm (</a:t>
          </a:r>
          <a:r>
            <a:rPr kumimoji="1" lang="ja-JP" altLang="en-US" sz="900">
              <a:latin typeface="+mn-ea"/>
              <a:ea typeface="+mn-ea"/>
            </a:rPr>
            <a:t>空隙率</a:t>
          </a:r>
          <a:r>
            <a:rPr kumimoji="1" lang="en-US" altLang="ja-JP" sz="900">
              <a:latin typeface="+mn-ea"/>
              <a:ea typeface="+mn-ea"/>
            </a:rPr>
            <a:t>0.1)</a:t>
          </a:r>
        </a:p>
        <a:p>
          <a:pPr>
            <a:lnSpc>
              <a:spcPts val="1100"/>
            </a:lnSpc>
          </a:pPr>
          <a:r>
            <a:rPr kumimoji="1" lang="ja-JP" altLang="en-US" sz="900">
              <a:latin typeface="+mn-ea"/>
              <a:ea typeface="+mn-ea"/>
            </a:rPr>
            <a:t>単粒度砕石 </a:t>
          </a:r>
          <a:r>
            <a:rPr kumimoji="1" lang="en-US" altLang="ja-JP" sz="900">
              <a:latin typeface="+mn-ea"/>
              <a:ea typeface="+mn-ea"/>
            </a:rPr>
            <a:t>50cm (</a:t>
          </a:r>
          <a:r>
            <a:rPr kumimoji="1" lang="ja-JP" altLang="en-US" sz="900">
              <a:latin typeface="+mn-ea"/>
              <a:ea typeface="+mn-ea"/>
            </a:rPr>
            <a:t>空隙率</a:t>
          </a:r>
          <a:r>
            <a:rPr kumimoji="1" lang="en-US" altLang="ja-JP" sz="900">
              <a:latin typeface="+mn-ea"/>
              <a:ea typeface="+mn-ea"/>
            </a:rPr>
            <a:t>0.4)</a:t>
          </a:r>
          <a:r>
            <a:rPr kumimoji="1" lang="ja-JP" altLang="en-US" sz="900">
              <a:latin typeface="+mn-ea"/>
              <a:ea typeface="+mn-ea"/>
            </a:rPr>
            <a:t>　の場合</a:t>
          </a:r>
          <a:endParaRPr kumimoji="1" lang="en-US" altLang="ja-JP" sz="900">
            <a:latin typeface="+mn-ea"/>
            <a:ea typeface="+mn-ea"/>
          </a:endParaRPr>
        </a:p>
        <a:p>
          <a:r>
            <a:rPr kumimoji="1" lang="ja-JP" altLang="en-US" sz="900">
              <a:latin typeface="+mn-ea"/>
              <a:ea typeface="+mn-ea"/>
            </a:rPr>
            <a:t>平均空隙率</a:t>
          </a:r>
          <a:r>
            <a:rPr kumimoji="1" lang="en-US" altLang="ja-JP" sz="900">
              <a:latin typeface="+mn-ea"/>
              <a:ea typeface="+mn-ea"/>
            </a:rPr>
            <a:t>=(10×0.1+50×0.4)÷60 = 0.35</a:t>
          </a:r>
          <a:endParaRPr kumimoji="1" lang="ja-JP" altLang="en-US" sz="900">
            <a:latin typeface="+mn-ea"/>
            <a:ea typeface="+mn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21105</xdr:colOff>
      <xdr:row>22</xdr:row>
      <xdr:rowOff>136151</xdr:rowOff>
    </xdr:from>
    <xdr:to>
      <xdr:col>8</xdr:col>
      <xdr:colOff>592887</xdr:colOff>
      <xdr:row>22</xdr:row>
      <xdr:rowOff>136151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B1BCF94C-F2F4-9AC6-E2E4-E20BCB082E7E}"/>
            </a:ext>
          </a:extLst>
        </xdr:cNvPr>
        <xdr:cNvCxnSpPr/>
      </xdr:nvCxnSpPr>
      <xdr:spPr>
        <a:xfrm>
          <a:off x="3520515" y="5387975"/>
          <a:ext cx="1803012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421527</xdr:colOff>
      <xdr:row>5</xdr:row>
      <xdr:rowOff>191059</xdr:rowOff>
    </xdr:from>
    <xdr:ext cx="3211185" cy="43523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D5EBA9B-C9A6-C79C-22B0-80EBD7971BEE}"/>
            </a:ext>
          </a:extLst>
        </xdr:cNvPr>
        <xdr:cNvSpPr txBox="1"/>
      </xdr:nvSpPr>
      <xdr:spPr>
        <a:xfrm>
          <a:off x="4543051" y="1128058"/>
          <a:ext cx="3256244" cy="43210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←この条件下以外では、このシートは使えません！</a:t>
          </a:r>
          <a:endParaRPr kumimoji="1" lang="en-US" altLang="ja-JP" sz="1100" b="1">
            <a:solidFill>
              <a:srgbClr val="FF0000"/>
            </a:solidFill>
          </a:endParaRPr>
        </a:p>
        <a:p>
          <a:pPr>
            <a:lnSpc>
              <a:spcPts val="1100"/>
            </a:lnSpc>
          </a:pPr>
          <a:r>
            <a:rPr kumimoji="1" lang="ja-JP" altLang="en-US" sz="1100" b="1">
              <a:solidFill>
                <a:srgbClr val="FF0000"/>
              </a:solidFill>
            </a:rPr>
            <a:t>　　これを超える場合は別途相談のこと！</a:t>
          </a:r>
        </a:p>
      </xdr:txBody>
    </xdr:sp>
    <xdr:clientData/>
  </xdr:oneCellAnchor>
  <xdr:oneCellAnchor>
    <xdr:from>
      <xdr:col>7</xdr:col>
      <xdr:colOff>417792</xdr:colOff>
      <xdr:row>7</xdr:row>
      <xdr:rowOff>227854</xdr:rowOff>
    </xdr:from>
    <xdr:ext cx="3255558" cy="44345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2415FE8-4B36-5941-4B00-03C8E63AFBBF}"/>
            </a:ext>
          </a:extLst>
        </xdr:cNvPr>
        <xdr:cNvSpPr txBox="1"/>
      </xdr:nvSpPr>
      <xdr:spPr>
        <a:xfrm>
          <a:off x="4526616" y="1669678"/>
          <a:ext cx="3256644" cy="43078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←この条件下以外では、このシートは使えません！</a:t>
          </a:r>
          <a:endParaRPr kumimoji="1" lang="en-US" altLang="ja-JP" sz="1100" b="1">
            <a:solidFill>
              <a:srgbClr val="FF0000"/>
            </a:solidFill>
          </a:endParaRPr>
        </a:p>
        <a:p>
          <a:pPr>
            <a:lnSpc>
              <a:spcPts val="1100"/>
            </a:lnSpc>
          </a:pPr>
          <a:r>
            <a:rPr kumimoji="1" lang="ja-JP" altLang="en-US" sz="1100" b="1">
              <a:solidFill>
                <a:srgbClr val="FF0000"/>
              </a:solidFill>
            </a:rPr>
            <a:t>　　これを超える場合は別途相談のこと！</a:t>
          </a:r>
        </a:p>
      </xdr:txBody>
    </xdr:sp>
    <xdr:clientData/>
  </xdr:oneCellAnchor>
  <xdr:twoCellAnchor editAs="oneCell">
    <xdr:from>
      <xdr:col>1</xdr:col>
      <xdr:colOff>177800</xdr:colOff>
      <xdr:row>92</xdr:row>
      <xdr:rowOff>114300</xdr:rowOff>
    </xdr:from>
    <xdr:to>
      <xdr:col>8</xdr:col>
      <xdr:colOff>495300</xdr:colOff>
      <xdr:row>107</xdr:row>
      <xdr:rowOff>0</xdr:rowOff>
    </xdr:to>
    <xdr:pic>
      <xdr:nvPicPr>
        <xdr:cNvPr id="33643" name="図 6">
          <a:extLst>
            <a:ext uri="{FF2B5EF4-FFF2-40B4-BE49-F238E27FC236}">
              <a16:creationId xmlns:a16="http://schemas.microsoft.com/office/drawing/2014/main" id="{927A6843-DF68-F495-9C78-A42C291C7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399250"/>
          <a:ext cx="52705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127000</xdr:colOff>
      <xdr:row>79</xdr:row>
      <xdr:rowOff>88900</xdr:rowOff>
    </xdr:from>
    <xdr:to>
      <xdr:col>8</xdr:col>
      <xdr:colOff>527050</xdr:colOff>
      <xdr:row>92</xdr:row>
      <xdr:rowOff>0</xdr:rowOff>
    </xdr:to>
    <xdr:pic>
      <xdr:nvPicPr>
        <xdr:cNvPr id="33644" name="図 7">
          <a:extLst>
            <a:ext uri="{FF2B5EF4-FFF2-40B4-BE49-F238E27FC236}">
              <a16:creationId xmlns:a16="http://schemas.microsoft.com/office/drawing/2014/main" id="{31FB1459-A18E-5130-1EAA-17FAB013E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" y="17227550"/>
          <a:ext cx="535305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108</xdr:row>
      <xdr:rowOff>184150</xdr:rowOff>
    </xdr:from>
    <xdr:to>
      <xdr:col>7</xdr:col>
      <xdr:colOff>317500</xdr:colOff>
      <xdr:row>118</xdr:row>
      <xdr:rowOff>88900</xdr:rowOff>
    </xdr:to>
    <xdr:grpSp>
      <xdr:nvGrpSpPr>
        <xdr:cNvPr id="33645" name="グループ化 8">
          <a:extLst>
            <a:ext uri="{FF2B5EF4-FFF2-40B4-BE49-F238E27FC236}">
              <a16:creationId xmlns:a16="http://schemas.microsoft.com/office/drawing/2014/main" id="{74825CD5-E53F-0B89-F064-20EAF5C99AEA}"/>
            </a:ext>
          </a:extLst>
        </xdr:cNvPr>
        <xdr:cNvGrpSpPr>
          <a:grpSpLocks/>
        </xdr:cNvGrpSpPr>
      </xdr:nvGrpSpPr>
      <xdr:grpSpPr bwMode="auto">
        <a:xfrm>
          <a:off x="546100" y="22882225"/>
          <a:ext cx="4737100" cy="1692275"/>
          <a:chOff x="361016" y="19259549"/>
          <a:chExt cx="5144434" cy="2009776"/>
        </a:xfrm>
      </xdr:grpSpPr>
      <xdr:grpSp>
        <xdr:nvGrpSpPr>
          <xdr:cNvPr id="33650" name="グループ化 9">
            <a:extLst>
              <a:ext uri="{FF2B5EF4-FFF2-40B4-BE49-F238E27FC236}">
                <a16:creationId xmlns:a16="http://schemas.microsoft.com/office/drawing/2014/main" id="{768593CD-2758-561A-47F9-01CE11F49915}"/>
              </a:ext>
            </a:extLst>
          </xdr:cNvPr>
          <xdr:cNvGrpSpPr>
            <a:grpSpLocks/>
          </xdr:cNvGrpSpPr>
        </xdr:nvGrpSpPr>
        <xdr:grpSpPr bwMode="auto">
          <a:xfrm>
            <a:off x="364191" y="19660348"/>
            <a:ext cx="5138084" cy="1605802"/>
            <a:chOff x="259416" y="19041223"/>
            <a:chExt cx="4320802" cy="1295824"/>
          </a:xfrm>
        </xdr:grpSpPr>
        <xdr:pic>
          <xdr:nvPicPr>
            <xdr:cNvPr id="33652" name="図 11">
              <a:extLst>
                <a:ext uri="{FF2B5EF4-FFF2-40B4-BE49-F238E27FC236}">
                  <a16:creationId xmlns:a16="http://schemas.microsoft.com/office/drawing/2014/main" id="{AFCAAB8F-59AE-F42E-1957-253FBCA811AA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9416" y="19041223"/>
              <a:ext cx="4320802" cy="129582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A62ACC1A-C753-3A82-420F-82B6F6725872}"/>
                </a:ext>
              </a:extLst>
            </xdr:cNvPr>
            <xdr:cNvSpPr/>
          </xdr:nvSpPr>
          <xdr:spPr bwMode="auto">
            <a:xfrm>
              <a:off x="1650018" y="19679111"/>
              <a:ext cx="2843802" cy="346598"/>
            </a:xfrm>
            <a:prstGeom prst="rect">
              <a:avLst/>
            </a:prstGeom>
            <a:noFill/>
            <a:ln w="38100" cap="flat" cmpd="sng" algn="ctr">
              <a:solidFill>
                <a:srgbClr val="FF0000">
                  <a:alpha val="50196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1DC44802-A926-5FF8-05B0-68033B30F22F}"/>
                </a:ext>
              </a:extLst>
            </xdr:cNvPr>
            <xdr:cNvSpPr/>
          </xdr:nvSpPr>
          <xdr:spPr bwMode="auto">
            <a:xfrm>
              <a:off x="1650018" y="19469845"/>
              <a:ext cx="2831078" cy="189648"/>
            </a:xfrm>
            <a:prstGeom prst="rect">
              <a:avLst/>
            </a:prstGeom>
            <a:noFill/>
            <a:ln w="38100" cap="flat" cmpd="sng" algn="ctr">
              <a:solidFill>
                <a:srgbClr val="FF0000">
                  <a:alpha val="50196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kumimoji="1" lang="ja-JP" altLang="en-US" sz="1100"/>
            </a:p>
          </xdr:txBody>
        </xdr:sp>
      </xdr:grpSp>
      <xdr:pic>
        <xdr:nvPicPr>
          <xdr:cNvPr id="33651" name="図 10">
            <a:extLst>
              <a:ext uri="{FF2B5EF4-FFF2-40B4-BE49-F238E27FC236}">
                <a16:creationId xmlns:a16="http://schemas.microsoft.com/office/drawing/2014/main" id="{C379F44F-6240-2F33-0D1A-112DBB90F98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675" y="19259549"/>
            <a:ext cx="4980424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76200</xdr:colOff>
      <xdr:row>51</xdr:row>
      <xdr:rowOff>38100</xdr:rowOff>
    </xdr:from>
    <xdr:to>
      <xdr:col>6</xdr:col>
      <xdr:colOff>628650</xdr:colOff>
      <xdr:row>78</xdr:row>
      <xdr:rowOff>69850</xdr:rowOff>
    </xdr:to>
    <xdr:grpSp>
      <xdr:nvGrpSpPr>
        <xdr:cNvPr id="33646" name="グループ化 15">
          <a:extLst>
            <a:ext uri="{FF2B5EF4-FFF2-40B4-BE49-F238E27FC236}">
              <a16:creationId xmlns:a16="http://schemas.microsoft.com/office/drawing/2014/main" id="{E00B4F5A-8E42-AD87-DED8-884F007F68E1}"/>
            </a:ext>
          </a:extLst>
        </xdr:cNvPr>
        <xdr:cNvGrpSpPr>
          <a:grpSpLocks/>
        </xdr:cNvGrpSpPr>
      </xdr:nvGrpSpPr>
      <xdr:grpSpPr bwMode="auto">
        <a:xfrm>
          <a:off x="279400" y="12611100"/>
          <a:ext cx="4641850" cy="4832350"/>
          <a:chOff x="228870" y="12420973"/>
          <a:chExt cx="3664926" cy="4253380"/>
        </a:xfrm>
      </xdr:grpSpPr>
      <xdr:pic>
        <xdr:nvPicPr>
          <xdr:cNvPr id="33648" name="図 2">
            <a:extLst>
              <a:ext uri="{FF2B5EF4-FFF2-40B4-BE49-F238E27FC236}">
                <a16:creationId xmlns:a16="http://schemas.microsoft.com/office/drawing/2014/main" id="{2B28C0C4-C2FB-04B9-1868-F97DE9DD64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870" y="12420973"/>
            <a:ext cx="3664926" cy="42533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219E96A4-DE23-4A3F-2BFE-8A991ED01BFF}"/>
              </a:ext>
            </a:extLst>
          </xdr:cNvPr>
          <xdr:cNvSpPr/>
        </xdr:nvSpPr>
        <xdr:spPr bwMode="auto">
          <a:xfrm>
            <a:off x="1565041" y="14592784"/>
            <a:ext cx="2165142" cy="493320"/>
          </a:xfrm>
          <a:prstGeom prst="rect">
            <a:avLst/>
          </a:prstGeom>
          <a:noFill/>
          <a:ln w="38100" cap="flat" cmpd="sng" algn="ctr">
            <a:solidFill>
              <a:srgbClr val="FF0000">
                <a:alpha val="50196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5</xdr:col>
      <xdr:colOff>530412</xdr:colOff>
      <xdr:row>21</xdr:row>
      <xdr:rowOff>135592</xdr:rowOff>
    </xdr:from>
    <xdr:ext cx="2041708" cy="28883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FFE818-659E-E4A9-DE64-72DC3EF080BC}"/>
            </a:ext>
          </a:extLst>
        </xdr:cNvPr>
        <xdr:cNvSpPr txBox="1"/>
      </xdr:nvSpPr>
      <xdr:spPr>
        <a:xfrm>
          <a:off x="3219637" y="5352117"/>
          <a:ext cx="2181620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（材料構成から平均空隙率）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56216</xdr:colOff>
      <xdr:row>5</xdr:row>
      <xdr:rowOff>222624</xdr:rowOff>
    </xdr:from>
    <xdr:ext cx="3205749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E1B8FD-2ADF-5E87-55C5-2BE6598C8CC8}"/>
            </a:ext>
          </a:extLst>
        </xdr:cNvPr>
        <xdr:cNvSpPr txBox="1"/>
      </xdr:nvSpPr>
      <xdr:spPr>
        <a:xfrm>
          <a:off x="5212416" y="1407957"/>
          <a:ext cx="3205749" cy="45910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←この条件下以外では、このシートは使えません！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　これを超える場合は別途相談のこと！</a:t>
          </a:r>
        </a:p>
      </xdr:txBody>
    </xdr:sp>
    <xdr:clientData/>
  </xdr:oneCellAnchor>
  <xdr:twoCellAnchor>
    <xdr:from>
      <xdr:col>6</xdr:col>
      <xdr:colOff>38100</xdr:colOff>
      <xdr:row>46</xdr:row>
      <xdr:rowOff>133350</xdr:rowOff>
    </xdr:from>
    <xdr:to>
      <xdr:col>7</xdr:col>
      <xdr:colOff>603250</xdr:colOff>
      <xdr:row>46</xdr:row>
      <xdr:rowOff>133350</xdr:rowOff>
    </xdr:to>
    <xdr:cxnSp macro="">
      <xdr:nvCxnSpPr>
        <xdr:cNvPr id="34658" name="直線矢印コネクタ 4">
          <a:extLst>
            <a:ext uri="{FF2B5EF4-FFF2-40B4-BE49-F238E27FC236}">
              <a16:creationId xmlns:a16="http://schemas.microsoft.com/office/drawing/2014/main" id="{027C20F0-61D4-8DBF-FB11-4106EBE06B57}"/>
            </a:ext>
          </a:extLst>
        </xdr:cNvPr>
        <xdr:cNvCxnSpPr>
          <a:cxnSpLocks noChangeShapeType="1"/>
        </xdr:cNvCxnSpPr>
      </xdr:nvCxnSpPr>
      <xdr:spPr bwMode="auto">
        <a:xfrm>
          <a:off x="4584700" y="11734800"/>
          <a:ext cx="1174750" cy="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7</xdr:col>
      <xdr:colOff>56777</xdr:colOff>
      <xdr:row>8</xdr:row>
      <xdr:rowOff>49492</xdr:rowOff>
    </xdr:from>
    <xdr:ext cx="3205749" cy="4591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03D176F-656B-C504-9507-CFF3CD72BD26}"/>
            </a:ext>
          </a:extLst>
        </xdr:cNvPr>
        <xdr:cNvSpPr txBox="1"/>
      </xdr:nvSpPr>
      <xdr:spPr>
        <a:xfrm>
          <a:off x="5212977" y="1996825"/>
          <a:ext cx="3205749" cy="45910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←この条件下以外では、このシートは使えません！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　これを超える場合は別途相談のこと！</a:t>
          </a:r>
        </a:p>
      </xdr:txBody>
    </xdr:sp>
    <xdr:clientData/>
  </xdr:oneCellAnchor>
  <xdr:twoCellAnchor editAs="oneCell">
    <xdr:from>
      <xdr:col>1</xdr:col>
      <xdr:colOff>311150</xdr:colOff>
      <xdr:row>81</xdr:row>
      <xdr:rowOff>336550</xdr:rowOff>
    </xdr:from>
    <xdr:to>
      <xdr:col>8</xdr:col>
      <xdr:colOff>0</xdr:colOff>
      <xdr:row>92</xdr:row>
      <xdr:rowOff>203200</xdr:rowOff>
    </xdr:to>
    <xdr:pic>
      <xdr:nvPicPr>
        <xdr:cNvPr id="34660" name="図 5">
          <a:extLst>
            <a:ext uri="{FF2B5EF4-FFF2-40B4-BE49-F238E27FC236}">
              <a16:creationId xmlns:a16="http://schemas.microsoft.com/office/drawing/2014/main" id="{12F25BBA-ADA4-5CF1-0AB7-51BAC2C4F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745450"/>
          <a:ext cx="52705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93</xdr:row>
      <xdr:rowOff>171450</xdr:rowOff>
    </xdr:from>
    <xdr:to>
      <xdr:col>5</xdr:col>
      <xdr:colOff>508000</xdr:colOff>
      <xdr:row>99</xdr:row>
      <xdr:rowOff>88900</xdr:rowOff>
    </xdr:to>
    <xdr:grpSp>
      <xdr:nvGrpSpPr>
        <xdr:cNvPr id="34661" name="グループ化 7">
          <a:extLst>
            <a:ext uri="{FF2B5EF4-FFF2-40B4-BE49-F238E27FC236}">
              <a16:creationId xmlns:a16="http://schemas.microsoft.com/office/drawing/2014/main" id="{23FFA7E7-DE18-0EEF-0CB6-077C7145C435}"/>
            </a:ext>
          </a:extLst>
        </xdr:cNvPr>
        <xdr:cNvGrpSpPr>
          <a:grpSpLocks/>
        </xdr:cNvGrpSpPr>
      </xdr:nvGrpSpPr>
      <xdr:grpSpPr bwMode="auto">
        <a:xfrm>
          <a:off x="508000" y="23717250"/>
          <a:ext cx="4318000" cy="1441450"/>
          <a:chOff x="361016" y="19259549"/>
          <a:chExt cx="5144434" cy="2009776"/>
        </a:xfrm>
      </xdr:grpSpPr>
      <xdr:grpSp>
        <xdr:nvGrpSpPr>
          <xdr:cNvPr id="34667" name="グループ化 8">
            <a:extLst>
              <a:ext uri="{FF2B5EF4-FFF2-40B4-BE49-F238E27FC236}">
                <a16:creationId xmlns:a16="http://schemas.microsoft.com/office/drawing/2014/main" id="{DCCC7BBC-A867-C01D-4E35-C4BF4C9BC55E}"/>
              </a:ext>
            </a:extLst>
          </xdr:cNvPr>
          <xdr:cNvGrpSpPr>
            <a:grpSpLocks/>
          </xdr:cNvGrpSpPr>
        </xdr:nvGrpSpPr>
        <xdr:grpSpPr bwMode="auto">
          <a:xfrm>
            <a:off x="364191" y="19660348"/>
            <a:ext cx="5138084" cy="1605802"/>
            <a:chOff x="259416" y="19041223"/>
            <a:chExt cx="4320802" cy="1295824"/>
          </a:xfrm>
        </xdr:grpSpPr>
        <xdr:pic>
          <xdr:nvPicPr>
            <xdr:cNvPr id="34669" name="図 10">
              <a:extLst>
                <a:ext uri="{FF2B5EF4-FFF2-40B4-BE49-F238E27FC236}">
                  <a16:creationId xmlns:a16="http://schemas.microsoft.com/office/drawing/2014/main" id="{0947D68E-14A4-2A5A-B08A-3A7D07A305A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9416" y="19041223"/>
              <a:ext cx="4320802" cy="129582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2" name="正方形/長方形 11">
              <a:extLst>
                <a:ext uri="{FF2B5EF4-FFF2-40B4-BE49-F238E27FC236}">
                  <a16:creationId xmlns:a16="http://schemas.microsoft.com/office/drawing/2014/main" id="{1B4C3706-EF09-BF40-C6FF-DF2362FBFCBA}"/>
                </a:ext>
              </a:extLst>
            </xdr:cNvPr>
            <xdr:cNvSpPr/>
          </xdr:nvSpPr>
          <xdr:spPr bwMode="auto">
            <a:xfrm>
              <a:off x="1610835" y="19710887"/>
              <a:ext cx="2902612" cy="285783"/>
            </a:xfrm>
            <a:prstGeom prst="rect">
              <a:avLst/>
            </a:prstGeom>
            <a:noFill/>
            <a:ln w="38100" cap="flat" cmpd="sng" algn="ctr">
              <a:solidFill>
                <a:srgbClr val="FF0000">
                  <a:alpha val="50196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B538DF78-C4D4-15AB-30B0-BB209C6C6D47}"/>
                </a:ext>
              </a:extLst>
            </xdr:cNvPr>
            <xdr:cNvSpPr/>
          </xdr:nvSpPr>
          <xdr:spPr bwMode="auto">
            <a:xfrm>
              <a:off x="1617779" y="19467972"/>
              <a:ext cx="2902612" cy="185759"/>
            </a:xfrm>
            <a:prstGeom prst="rect">
              <a:avLst/>
            </a:prstGeom>
            <a:noFill/>
            <a:ln w="38100" cap="flat" cmpd="sng" algn="ctr">
              <a:solidFill>
                <a:srgbClr val="FF0000">
                  <a:alpha val="50196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kumimoji="1" lang="ja-JP" altLang="en-US" sz="1100"/>
            </a:p>
          </xdr:txBody>
        </xdr:sp>
      </xdr:grpSp>
      <xdr:pic>
        <xdr:nvPicPr>
          <xdr:cNvPr id="34668" name="図 9">
            <a:extLst>
              <a:ext uri="{FF2B5EF4-FFF2-40B4-BE49-F238E27FC236}">
                <a16:creationId xmlns:a16="http://schemas.microsoft.com/office/drawing/2014/main" id="{38842C56-9D18-CCE2-7D8F-7CAD59FFA70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675" y="19259549"/>
            <a:ext cx="4980424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215900</xdr:colOff>
      <xdr:row>63</xdr:row>
      <xdr:rowOff>336550</xdr:rowOff>
    </xdr:from>
    <xdr:to>
      <xdr:col>10</xdr:col>
      <xdr:colOff>165100</xdr:colOff>
      <xdr:row>78</xdr:row>
      <xdr:rowOff>247650</xdr:rowOff>
    </xdr:to>
    <xdr:grpSp>
      <xdr:nvGrpSpPr>
        <xdr:cNvPr id="34662" name="グループ化 16">
          <a:extLst>
            <a:ext uri="{FF2B5EF4-FFF2-40B4-BE49-F238E27FC236}">
              <a16:creationId xmlns:a16="http://schemas.microsoft.com/office/drawing/2014/main" id="{04981A02-F476-523B-14B5-ABC26DE370BD}"/>
            </a:ext>
          </a:extLst>
        </xdr:cNvPr>
        <xdr:cNvGrpSpPr>
          <a:grpSpLocks/>
        </xdr:cNvGrpSpPr>
      </xdr:nvGrpSpPr>
      <xdr:grpSpPr bwMode="auto">
        <a:xfrm>
          <a:off x="196850" y="16176625"/>
          <a:ext cx="8845550" cy="3806825"/>
          <a:chOff x="142501" y="16368618"/>
          <a:chExt cx="8021926" cy="3810001"/>
        </a:xfrm>
      </xdr:grpSpPr>
      <xdr:pic>
        <xdr:nvPicPr>
          <xdr:cNvPr id="34664" name="図 3">
            <a:extLst>
              <a:ext uri="{FF2B5EF4-FFF2-40B4-BE49-F238E27FC236}">
                <a16:creationId xmlns:a16="http://schemas.microsoft.com/office/drawing/2014/main" id="{BF85861B-0306-2DDF-1615-320014CB98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501" y="16368618"/>
            <a:ext cx="8021926" cy="38100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D68C8DF8-0449-59BA-BC11-A25FFD037D58}"/>
              </a:ext>
            </a:extLst>
          </xdr:cNvPr>
          <xdr:cNvSpPr/>
        </xdr:nvSpPr>
        <xdr:spPr bwMode="auto">
          <a:xfrm>
            <a:off x="1777181" y="18664796"/>
            <a:ext cx="1975502" cy="1144908"/>
          </a:xfrm>
          <a:prstGeom prst="rect">
            <a:avLst/>
          </a:prstGeom>
          <a:noFill/>
          <a:ln w="38100" cap="flat" cmpd="sng" algn="ctr">
            <a:solidFill>
              <a:srgbClr val="FF0000">
                <a:alpha val="50196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AA029257-659E-218C-8FD0-52B67D3A50B7}"/>
              </a:ext>
            </a:extLst>
          </xdr:cNvPr>
          <xdr:cNvSpPr/>
        </xdr:nvSpPr>
        <xdr:spPr bwMode="auto">
          <a:xfrm>
            <a:off x="1783493" y="18442174"/>
            <a:ext cx="6229458" cy="222621"/>
          </a:xfrm>
          <a:prstGeom prst="rect">
            <a:avLst/>
          </a:prstGeom>
          <a:noFill/>
          <a:ln w="38100" cap="flat" cmpd="sng" algn="ctr">
            <a:solidFill>
              <a:srgbClr val="FF0000">
                <a:alpha val="50196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4</xdr:col>
      <xdr:colOff>859118</xdr:colOff>
      <xdr:row>45</xdr:row>
      <xdr:rowOff>13820</xdr:rowOff>
    </xdr:from>
    <xdr:ext cx="2047473" cy="2882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320E80-2E0F-FE7B-C780-DC5B77FA371A}"/>
            </a:ext>
          </a:extLst>
        </xdr:cNvPr>
        <xdr:cNvSpPr txBox="1"/>
      </xdr:nvSpPr>
      <xdr:spPr>
        <a:xfrm>
          <a:off x="3621368" y="11361270"/>
          <a:ext cx="2269335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（材料構成から平均空隙率）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pref.aichi.jp/site/usui-taisaku/manual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pref.aichi.jp/site/usui-taisaku/manual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20316-9C8B-4F9B-A609-A6DEE77997DE}">
  <sheetPr>
    <tabColor indexed="45"/>
  </sheetPr>
  <dimension ref="A1:N89"/>
  <sheetViews>
    <sheetView tabSelected="1" view="pageBreakPreview" zoomScale="90" zoomScaleNormal="100" zoomScaleSheetLayoutView="90" workbookViewId="0">
      <selection activeCell="F41" sqref="F41"/>
    </sheetView>
  </sheetViews>
  <sheetFormatPr defaultColWidth="8.75" defaultRowHeight="13.5" x14ac:dyDescent="0.15"/>
  <cols>
    <col min="1" max="1" width="5.625" style="30" customWidth="1"/>
    <col min="2" max="2" width="4.75" style="30" customWidth="1"/>
    <col min="3" max="3" width="25.125" style="30" bestFit="1" customWidth="1"/>
    <col min="4" max="4" width="8.75" style="30"/>
    <col min="5" max="5" width="5.25" style="29" bestFit="1" customWidth="1"/>
    <col min="6" max="6" width="40.625" style="32" customWidth="1"/>
    <col min="7" max="7" width="5.625" style="30" customWidth="1"/>
    <col min="8" max="8" width="8.25" style="30" bestFit="1" customWidth="1"/>
    <col min="9" max="11" width="8.75" style="30"/>
    <col min="12" max="12" width="10.5" style="30" bestFit="1" customWidth="1"/>
    <col min="13" max="13" width="12.25" style="30" bestFit="1" customWidth="1"/>
    <col min="14" max="14" width="8.75" style="30"/>
    <col min="15" max="15" width="2.625" style="30" customWidth="1"/>
    <col min="16" max="16384" width="8.75" style="30"/>
  </cols>
  <sheetData>
    <row r="1" spans="1:14" x14ac:dyDescent="0.15">
      <c r="L1" s="399"/>
      <c r="M1" s="399"/>
      <c r="N1" s="399"/>
    </row>
    <row r="2" spans="1:14" ht="21" x14ac:dyDescent="0.15">
      <c r="A2" s="376" t="s">
        <v>409</v>
      </c>
      <c r="B2" s="376"/>
      <c r="C2" s="376"/>
      <c r="D2" s="376"/>
      <c r="E2" s="376"/>
      <c r="F2" s="376"/>
      <c r="G2" s="393" t="str">
        <f>IF(E15=1,"（市街化区域）","（調整区域）")</f>
        <v>（調整区域）</v>
      </c>
      <c r="H2" s="393"/>
      <c r="I2" s="393"/>
      <c r="M2" s="29" t="s">
        <v>238</v>
      </c>
      <c r="N2" s="29" t="s">
        <v>237</v>
      </c>
    </row>
    <row r="3" spans="1:14" ht="13.5" customHeight="1" thickBot="1" x14ac:dyDescent="0.2">
      <c r="A3" s="103"/>
      <c r="B3" s="103"/>
      <c r="C3" s="103"/>
      <c r="D3" s="103"/>
      <c r="E3" s="103"/>
      <c r="F3" s="103"/>
      <c r="G3" s="104"/>
    </row>
    <row r="4" spans="1:14" ht="13.5" customHeight="1" thickBot="1" x14ac:dyDescent="0.2">
      <c r="A4" s="103"/>
      <c r="B4" s="103"/>
      <c r="C4" s="103"/>
      <c r="D4" s="238"/>
      <c r="E4" s="26" t="s">
        <v>209</v>
      </c>
      <c r="F4" s="25" t="s">
        <v>210</v>
      </c>
      <c r="G4" s="104"/>
    </row>
    <row r="5" spans="1:14" ht="13.5" customHeight="1" thickBot="1" x14ac:dyDescent="0.2">
      <c r="A5" s="103"/>
      <c r="B5" s="103"/>
      <c r="C5" s="103"/>
      <c r="D5" s="239"/>
      <c r="E5" s="26" t="s">
        <v>209</v>
      </c>
      <c r="F5" s="25" t="s">
        <v>381</v>
      </c>
      <c r="G5" s="104"/>
      <c r="H5" s="31" t="s">
        <v>160</v>
      </c>
      <c r="L5" s="31" t="s">
        <v>193</v>
      </c>
    </row>
    <row r="6" spans="1:14" ht="13.5" customHeight="1" thickBot="1" x14ac:dyDescent="0.2">
      <c r="A6" s="103"/>
      <c r="B6" s="103"/>
      <c r="C6" s="103"/>
      <c r="D6" s="240"/>
      <c r="E6" s="26" t="s">
        <v>209</v>
      </c>
      <c r="F6" s="25" t="s">
        <v>211</v>
      </c>
      <c r="G6" s="104"/>
      <c r="H6" s="297"/>
      <c r="I6" s="277" t="s">
        <v>166</v>
      </c>
      <c r="J6" s="169" t="s">
        <v>167</v>
      </c>
      <c r="K6" s="295" t="s">
        <v>168</v>
      </c>
      <c r="L6" s="304" t="s">
        <v>208</v>
      </c>
      <c r="M6" s="295" t="s">
        <v>194</v>
      </c>
    </row>
    <row r="7" spans="1:14" ht="13.5" customHeight="1" thickBot="1" x14ac:dyDescent="0.2">
      <c r="A7" s="103"/>
      <c r="B7" s="103"/>
      <c r="C7" s="103"/>
      <c r="D7" s="242"/>
      <c r="E7" s="26" t="s">
        <v>209</v>
      </c>
      <c r="F7" s="25" t="s">
        <v>212</v>
      </c>
      <c r="G7" s="104"/>
      <c r="H7" s="237" t="s">
        <v>161</v>
      </c>
      <c r="I7" s="306"/>
      <c r="J7" s="307"/>
      <c r="K7" s="314">
        <f>ROUND(I7*J7,2)</f>
        <v>0</v>
      </c>
      <c r="L7" s="318"/>
      <c r="M7" s="316">
        <f>ROUND(L7*J7,1)</f>
        <v>0</v>
      </c>
    </row>
    <row r="8" spans="1:14" ht="13.5" customHeight="1" x14ac:dyDescent="0.15">
      <c r="B8" s="105" t="s">
        <v>138</v>
      </c>
      <c r="D8" s="241"/>
      <c r="E8" s="26" t="s">
        <v>209</v>
      </c>
      <c r="F8" s="25" t="s">
        <v>213</v>
      </c>
      <c r="H8" s="231" t="s">
        <v>162</v>
      </c>
      <c r="I8" s="308"/>
      <c r="J8" s="309"/>
      <c r="K8" s="315">
        <f>ROUND(I8*J8,2)</f>
        <v>0</v>
      </c>
      <c r="L8" s="319"/>
      <c r="M8" s="317">
        <f t="shared" ref="M8:M22" si="0">ROUND(L8*J8,1)</f>
        <v>0</v>
      </c>
    </row>
    <row r="9" spans="1:14" s="39" customFormat="1" ht="13.5" customHeight="1" x14ac:dyDescent="0.15">
      <c r="A9" s="30"/>
      <c r="B9" s="105" t="s">
        <v>201</v>
      </c>
      <c r="C9" s="30"/>
      <c r="D9" s="30"/>
      <c r="E9" s="29"/>
      <c r="F9" s="32"/>
      <c r="G9" s="30"/>
      <c r="H9" s="303" t="s">
        <v>163</v>
      </c>
      <c r="I9" s="308"/>
      <c r="J9" s="309"/>
      <c r="K9" s="315">
        <f>ROUND(I9*J9,2)</f>
        <v>0</v>
      </c>
      <c r="L9" s="319"/>
      <c r="M9" s="317">
        <f t="shared" si="0"/>
        <v>0</v>
      </c>
    </row>
    <row r="10" spans="1:14" ht="13.5" customHeight="1" x14ac:dyDescent="0.15">
      <c r="B10" s="244"/>
      <c r="C10" s="245" t="s">
        <v>142</v>
      </c>
      <c r="D10" s="107"/>
      <c r="E10" s="246" t="s">
        <v>146</v>
      </c>
      <c r="F10" s="354" t="s">
        <v>419</v>
      </c>
      <c r="H10" s="231" t="s">
        <v>164</v>
      </c>
      <c r="I10" s="308"/>
      <c r="J10" s="309"/>
      <c r="K10" s="315">
        <f t="shared" ref="K10:K22" si="1">ROUND(I10*J10,2)</f>
        <v>0</v>
      </c>
      <c r="L10" s="319"/>
      <c r="M10" s="317">
        <f t="shared" si="0"/>
        <v>0</v>
      </c>
    </row>
    <row r="11" spans="1:14" ht="13.5" customHeight="1" x14ac:dyDescent="0.15">
      <c r="B11" s="247" t="s">
        <v>145</v>
      </c>
      <c r="C11" s="65" t="s">
        <v>139</v>
      </c>
      <c r="D11" s="195" t="e">
        <f>I23</f>
        <v>#DIV/0!</v>
      </c>
      <c r="E11" s="61" t="s">
        <v>148</v>
      </c>
      <c r="F11" s="377"/>
      <c r="H11" s="304" t="s">
        <v>165</v>
      </c>
      <c r="I11" s="310"/>
      <c r="J11" s="311"/>
      <c r="K11" s="315">
        <f t="shared" si="1"/>
        <v>0</v>
      </c>
      <c r="L11" s="319"/>
      <c r="M11" s="317">
        <f t="shared" si="0"/>
        <v>0</v>
      </c>
    </row>
    <row r="12" spans="1:14" ht="13.5" customHeight="1" x14ac:dyDescent="0.15">
      <c r="B12" s="247" t="s">
        <v>145</v>
      </c>
      <c r="C12" s="107" t="s">
        <v>34</v>
      </c>
      <c r="D12" s="195">
        <f>J23</f>
        <v>0</v>
      </c>
      <c r="E12" s="61" t="s">
        <v>148</v>
      </c>
      <c r="F12" s="355"/>
      <c r="H12" s="231" t="s">
        <v>170</v>
      </c>
      <c r="I12" s="308"/>
      <c r="J12" s="309"/>
      <c r="K12" s="315">
        <f t="shared" si="1"/>
        <v>0</v>
      </c>
      <c r="L12" s="319"/>
      <c r="M12" s="317">
        <f t="shared" si="0"/>
        <v>0</v>
      </c>
    </row>
    <row r="13" spans="1:14" ht="13.5" customHeight="1" x14ac:dyDescent="0.15">
      <c r="A13" s="39"/>
      <c r="B13" s="23"/>
      <c r="C13" s="39"/>
      <c r="D13" s="24"/>
      <c r="E13" s="106"/>
      <c r="F13" s="33"/>
      <c r="G13" s="39"/>
      <c r="H13" s="304" t="s">
        <v>171</v>
      </c>
      <c r="I13" s="310"/>
      <c r="J13" s="311"/>
      <c r="K13" s="315">
        <f t="shared" si="1"/>
        <v>0</v>
      </c>
      <c r="L13" s="319"/>
      <c r="M13" s="317">
        <f t="shared" si="0"/>
        <v>0</v>
      </c>
    </row>
    <row r="14" spans="1:14" ht="13.5" customHeight="1" thickBot="1" x14ac:dyDescent="0.2">
      <c r="B14" s="244"/>
      <c r="C14" s="245" t="s">
        <v>143</v>
      </c>
      <c r="D14" s="107"/>
      <c r="E14" s="253" t="s">
        <v>146</v>
      </c>
      <c r="F14" s="248"/>
      <c r="H14" s="231" t="s">
        <v>172</v>
      </c>
      <c r="I14" s="310"/>
      <c r="J14" s="311"/>
      <c r="K14" s="315">
        <f t="shared" si="1"/>
        <v>0</v>
      </c>
      <c r="L14" s="319"/>
      <c r="M14" s="317">
        <f t="shared" si="0"/>
        <v>0</v>
      </c>
    </row>
    <row r="15" spans="1:14" ht="13.5" customHeight="1" thickBot="1" x14ac:dyDescent="0.2">
      <c r="B15" s="247" t="s">
        <v>145</v>
      </c>
      <c r="C15" s="107" t="s">
        <v>149</v>
      </c>
      <c r="D15" s="256" t="str">
        <f>IF(E15=1,"市街化区域","調整区域")</f>
        <v>調整区域</v>
      </c>
      <c r="E15" s="254"/>
      <c r="F15" s="232" t="s">
        <v>206</v>
      </c>
      <c r="H15" s="304" t="s">
        <v>173</v>
      </c>
      <c r="I15" s="308"/>
      <c r="J15" s="309"/>
      <c r="K15" s="315">
        <f t="shared" si="1"/>
        <v>0</v>
      </c>
      <c r="L15" s="319"/>
      <c r="M15" s="317">
        <f t="shared" si="0"/>
        <v>0</v>
      </c>
    </row>
    <row r="16" spans="1:14" ht="13.5" customHeight="1" thickBot="1" x14ac:dyDescent="0.2">
      <c r="B16" s="247" t="s">
        <v>145</v>
      </c>
      <c r="C16" s="255" t="s">
        <v>85</v>
      </c>
      <c r="D16" s="257"/>
      <c r="E16" s="233" t="s">
        <v>148</v>
      </c>
      <c r="F16" s="248"/>
      <c r="H16" s="231" t="s">
        <v>174</v>
      </c>
      <c r="I16" s="310"/>
      <c r="J16" s="311"/>
      <c r="K16" s="315">
        <f t="shared" si="1"/>
        <v>0</v>
      </c>
      <c r="L16" s="319"/>
      <c r="M16" s="317">
        <f t="shared" si="0"/>
        <v>0</v>
      </c>
    </row>
    <row r="17" spans="2:14" ht="13.5" customHeight="1" thickBot="1" x14ac:dyDescent="0.2">
      <c r="B17" s="247" t="s">
        <v>145</v>
      </c>
      <c r="C17" s="255" t="s">
        <v>158</v>
      </c>
      <c r="D17" s="257"/>
      <c r="E17" s="258" t="s">
        <v>148</v>
      </c>
      <c r="F17" s="248"/>
      <c r="H17" s="304" t="s">
        <v>382</v>
      </c>
      <c r="I17" s="310"/>
      <c r="J17" s="311"/>
      <c r="K17" s="315">
        <f t="shared" si="1"/>
        <v>0</v>
      </c>
      <c r="L17" s="319"/>
      <c r="M17" s="317">
        <f t="shared" si="0"/>
        <v>0</v>
      </c>
    </row>
    <row r="18" spans="2:14" ht="13.5" customHeight="1" x14ac:dyDescent="0.15">
      <c r="B18" s="23"/>
      <c r="C18" s="40"/>
      <c r="D18" s="24"/>
      <c r="E18" s="28"/>
      <c r="F18" s="44"/>
      <c r="H18" s="231" t="s">
        <v>383</v>
      </c>
      <c r="I18" s="310"/>
      <c r="J18" s="311"/>
      <c r="K18" s="315">
        <f t="shared" si="1"/>
        <v>0</v>
      </c>
      <c r="L18" s="319"/>
      <c r="M18" s="317">
        <f t="shared" si="0"/>
        <v>0</v>
      </c>
    </row>
    <row r="19" spans="2:14" ht="13.5" customHeight="1" thickBot="1" x14ac:dyDescent="0.2">
      <c r="B19" s="244"/>
      <c r="C19" s="245" t="s">
        <v>141</v>
      </c>
      <c r="D19" s="108"/>
      <c r="E19" s="246" t="s">
        <v>146</v>
      </c>
      <c r="F19" s="248"/>
      <c r="H19" s="304" t="s">
        <v>384</v>
      </c>
      <c r="I19" s="310"/>
      <c r="J19" s="311"/>
      <c r="K19" s="315">
        <f t="shared" si="1"/>
        <v>0</v>
      </c>
      <c r="L19" s="319"/>
      <c r="M19" s="317">
        <f t="shared" si="0"/>
        <v>0</v>
      </c>
    </row>
    <row r="20" spans="2:14" ht="13.5" customHeight="1" x14ac:dyDescent="0.15">
      <c r="B20" s="365" t="s">
        <v>145</v>
      </c>
      <c r="C20" s="397" t="s">
        <v>84</v>
      </c>
      <c r="D20" s="394"/>
      <c r="E20" s="396" t="s">
        <v>147</v>
      </c>
      <c r="F20" s="354" t="s">
        <v>232</v>
      </c>
      <c r="H20" s="231" t="s">
        <v>385</v>
      </c>
      <c r="I20" s="310"/>
      <c r="J20" s="311"/>
      <c r="K20" s="315">
        <f t="shared" si="1"/>
        <v>0</v>
      </c>
      <c r="L20" s="319"/>
      <c r="M20" s="317">
        <f t="shared" si="0"/>
        <v>0</v>
      </c>
    </row>
    <row r="21" spans="2:14" ht="13.5" customHeight="1" thickBot="1" x14ac:dyDescent="0.2">
      <c r="B21" s="364"/>
      <c r="C21" s="398"/>
      <c r="D21" s="395"/>
      <c r="E21" s="358"/>
      <c r="F21" s="355"/>
      <c r="H21" s="304" t="s">
        <v>386</v>
      </c>
      <c r="I21" s="310"/>
      <c r="J21" s="311"/>
      <c r="K21" s="315">
        <f t="shared" si="1"/>
        <v>0</v>
      </c>
      <c r="L21" s="319"/>
      <c r="M21" s="317">
        <f t="shared" si="0"/>
        <v>0</v>
      </c>
    </row>
    <row r="22" spans="2:14" ht="13.5" customHeight="1" thickBot="1" x14ac:dyDescent="0.2">
      <c r="B22" s="247" t="s">
        <v>145</v>
      </c>
      <c r="C22" s="192" t="s">
        <v>178</v>
      </c>
      <c r="D22" s="260">
        <f>K24</f>
        <v>0</v>
      </c>
      <c r="E22" s="61" t="s">
        <v>147</v>
      </c>
      <c r="F22" s="248" t="s">
        <v>177</v>
      </c>
      <c r="H22" s="231"/>
      <c r="I22" s="312"/>
      <c r="J22" s="313"/>
      <c r="K22" s="315">
        <f t="shared" si="1"/>
        <v>0</v>
      </c>
      <c r="L22" s="320"/>
      <c r="M22" s="317">
        <f t="shared" si="0"/>
        <v>0</v>
      </c>
    </row>
    <row r="23" spans="2:14" ht="13.5" customHeight="1" thickTop="1" x14ac:dyDescent="0.15">
      <c r="B23" s="250" t="s">
        <v>156</v>
      </c>
      <c r="C23" s="259" t="s">
        <v>198</v>
      </c>
      <c r="D23" s="288"/>
      <c r="E23" s="258" t="s">
        <v>147</v>
      </c>
      <c r="F23" s="248" t="s">
        <v>175</v>
      </c>
      <c r="H23" s="299" t="s">
        <v>169</v>
      </c>
      <c r="I23" s="305" t="e">
        <f>AVERAGE(I7:I22)</f>
        <v>#DIV/0!</v>
      </c>
      <c r="J23" s="298">
        <f>SUM(J7:J22)</f>
        <v>0</v>
      </c>
      <c r="K23" s="302">
        <f>SUM(K7:K22)</f>
        <v>0</v>
      </c>
      <c r="L23" s="243">
        <f>IF(J23=0,0,ROUND(SUM(M7:M22)/J23,2))</f>
        <v>0</v>
      </c>
      <c r="M23" s="296" t="s">
        <v>197</v>
      </c>
    </row>
    <row r="24" spans="2:14" ht="13.5" customHeight="1" thickBot="1" x14ac:dyDescent="0.2">
      <c r="B24" s="251" t="s">
        <v>156</v>
      </c>
      <c r="C24" s="261" t="s">
        <v>199</v>
      </c>
      <c r="D24" s="289"/>
      <c r="E24" s="234" t="s">
        <v>147</v>
      </c>
      <c r="F24" s="252" t="s">
        <v>176</v>
      </c>
      <c r="H24" s="109"/>
      <c r="I24" s="110"/>
      <c r="J24" s="300" t="s">
        <v>204</v>
      </c>
      <c r="K24" s="301">
        <f>ROUND(K23/2,2)</f>
        <v>0</v>
      </c>
    </row>
    <row r="25" spans="2:14" ht="13.5" customHeight="1" x14ac:dyDescent="0.15">
      <c r="B25" s="250" t="s">
        <v>156</v>
      </c>
      <c r="C25" s="192" t="s">
        <v>412</v>
      </c>
      <c r="D25" s="262">
        <f>M48</f>
        <v>0</v>
      </c>
      <c r="E25" s="61" t="s">
        <v>147</v>
      </c>
      <c r="F25" s="248" t="s">
        <v>416</v>
      </c>
      <c r="H25" s="111" t="s">
        <v>180</v>
      </c>
      <c r="I25" s="110"/>
      <c r="J25" s="110"/>
      <c r="K25" s="110"/>
    </row>
    <row r="26" spans="2:14" ht="13.5" customHeight="1" x14ac:dyDescent="0.15">
      <c r="B26" s="23"/>
      <c r="C26" s="24"/>
      <c r="D26" s="24"/>
      <c r="E26" s="28"/>
      <c r="F26" s="44"/>
      <c r="H26" s="385" t="s">
        <v>414</v>
      </c>
      <c r="I26" s="386"/>
      <c r="J26" s="386"/>
      <c r="K26" s="387"/>
      <c r="L26" s="21" t="s">
        <v>2</v>
      </c>
      <c r="M26" s="21" t="s">
        <v>3</v>
      </c>
      <c r="N26" s="21"/>
    </row>
    <row r="27" spans="2:14" ht="13.5" customHeight="1" thickBot="1" x14ac:dyDescent="0.2">
      <c r="B27" s="244"/>
      <c r="C27" s="245" t="s">
        <v>144</v>
      </c>
      <c r="D27" s="108"/>
      <c r="E27" s="246" t="s">
        <v>146</v>
      </c>
      <c r="F27" s="248"/>
      <c r="H27" s="388"/>
      <c r="I27" s="389"/>
      <c r="J27" s="389"/>
      <c r="K27" s="390"/>
      <c r="L27" s="21" t="s">
        <v>188</v>
      </c>
      <c r="M27" s="169" t="s">
        <v>189</v>
      </c>
      <c r="N27" s="21" t="s">
        <v>190</v>
      </c>
    </row>
    <row r="28" spans="2:14" ht="13.5" customHeight="1" x14ac:dyDescent="0.15">
      <c r="B28" s="264" t="s">
        <v>157</v>
      </c>
      <c r="C28" s="259" t="s">
        <v>140</v>
      </c>
      <c r="D28" s="290"/>
      <c r="E28" s="258" t="s">
        <v>202</v>
      </c>
      <c r="F28" s="248" t="s">
        <v>476</v>
      </c>
      <c r="H28" s="378" t="s">
        <v>6</v>
      </c>
      <c r="I28" s="379"/>
      <c r="J28" s="348" t="s">
        <v>186</v>
      </c>
      <c r="K28" s="349"/>
      <c r="L28" s="282">
        <v>0.9</v>
      </c>
      <c r="M28" s="285"/>
      <c r="N28" s="283">
        <f t="shared" ref="N28:N46" si="2">L28*M28</f>
        <v>0</v>
      </c>
    </row>
    <row r="29" spans="2:14" ht="13.5" customHeight="1" thickBot="1" x14ac:dyDescent="0.2">
      <c r="B29" s="250" t="s">
        <v>156</v>
      </c>
      <c r="C29" s="259" t="s">
        <v>84</v>
      </c>
      <c r="D29" s="291"/>
      <c r="E29" s="258" t="s">
        <v>202</v>
      </c>
      <c r="F29" s="248" t="s">
        <v>476</v>
      </c>
      <c r="H29" s="380"/>
      <c r="I29" s="381"/>
      <c r="J29" s="348" t="s">
        <v>187</v>
      </c>
      <c r="K29" s="349"/>
      <c r="L29" s="282">
        <v>0.6</v>
      </c>
      <c r="M29" s="286"/>
      <c r="N29" s="283">
        <f t="shared" si="2"/>
        <v>0</v>
      </c>
    </row>
    <row r="30" spans="2:14" ht="13.5" customHeight="1" x14ac:dyDescent="0.15">
      <c r="B30" s="247" t="s">
        <v>145</v>
      </c>
      <c r="C30" s="192" t="s">
        <v>179</v>
      </c>
      <c r="D30" s="263">
        <v>0.9</v>
      </c>
      <c r="E30" s="61" t="s">
        <v>202</v>
      </c>
      <c r="F30" s="248"/>
      <c r="H30" s="384" t="s">
        <v>31</v>
      </c>
      <c r="I30" s="379"/>
      <c r="J30" s="348" t="s">
        <v>32</v>
      </c>
      <c r="K30" s="349"/>
      <c r="L30" s="282">
        <v>0.6</v>
      </c>
      <c r="M30" s="286"/>
      <c r="N30" s="283">
        <f t="shared" si="2"/>
        <v>0</v>
      </c>
    </row>
    <row r="31" spans="2:14" ht="13.5" customHeight="1" x14ac:dyDescent="0.15">
      <c r="B31" s="250" t="s">
        <v>156</v>
      </c>
      <c r="C31" s="192" t="s">
        <v>198</v>
      </c>
      <c r="D31" s="112">
        <v>0.6</v>
      </c>
      <c r="E31" s="61" t="s">
        <v>202</v>
      </c>
      <c r="F31" s="248"/>
      <c r="H31" s="380"/>
      <c r="I31" s="381"/>
      <c r="J31" s="348" t="s">
        <v>33</v>
      </c>
      <c r="K31" s="349"/>
      <c r="L31" s="282">
        <v>0.8</v>
      </c>
      <c r="M31" s="286"/>
      <c r="N31" s="283">
        <f t="shared" si="2"/>
        <v>0</v>
      </c>
    </row>
    <row r="32" spans="2:14" ht="13.5" customHeight="1" x14ac:dyDescent="0.15">
      <c r="B32" s="251" t="s">
        <v>156</v>
      </c>
      <c r="C32" s="193" t="s">
        <v>199</v>
      </c>
      <c r="D32" s="113">
        <v>0.8</v>
      </c>
      <c r="E32" s="61" t="s">
        <v>202</v>
      </c>
      <c r="F32" s="252"/>
      <c r="H32" s="400" t="s">
        <v>98</v>
      </c>
      <c r="I32" s="401"/>
      <c r="J32" s="348" t="s">
        <v>8</v>
      </c>
      <c r="K32" s="349"/>
      <c r="L32" s="282">
        <v>0.6</v>
      </c>
      <c r="M32" s="286"/>
      <c r="N32" s="283">
        <f t="shared" si="2"/>
        <v>0</v>
      </c>
    </row>
    <row r="33" spans="2:14" ht="13.5" customHeight="1" x14ac:dyDescent="0.15">
      <c r="B33" s="346" t="s">
        <v>156</v>
      </c>
      <c r="C33" s="344" t="s">
        <v>413</v>
      </c>
      <c r="D33" s="352">
        <f>L48</f>
        <v>0</v>
      </c>
      <c r="E33" s="350" t="s">
        <v>202</v>
      </c>
      <c r="F33" s="354" t="s">
        <v>415</v>
      </c>
      <c r="H33" s="391"/>
      <c r="I33" s="392"/>
      <c r="J33" s="348" t="s">
        <v>9</v>
      </c>
      <c r="K33" s="349"/>
      <c r="L33" s="282">
        <v>0.8</v>
      </c>
      <c r="M33" s="286"/>
      <c r="N33" s="283">
        <f t="shared" si="2"/>
        <v>0</v>
      </c>
    </row>
    <row r="34" spans="2:14" ht="13.5" customHeight="1" x14ac:dyDescent="0.15">
      <c r="B34" s="347"/>
      <c r="C34" s="345"/>
      <c r="D34" s="353"/>
      <c r="E34" s="351"/>
      <c r="F34" s="355"/>
      <c r="H34" s="402" t="s">
        <v>181</v>
      </c>
      <c r="I34" s="401"/>
      <c r="J34" s="348" t="s">
        <v>11</v>
      </c>
      <c r="K34" s="349"/>
      <c r="L34" s="282">
        <v>0.1</v>
      </c>
      <c r="M34" s="286"/>
      <c r="N34" s="283">
        <f t="shared" si="2"/>
        <v>0</v>
      </c>
    </row>
    <row r="35" spans="2:14" ht="13.5" customHeight="1" x14ac:dyDescent="0.15">
      <c r="B35" s="23"/>
      <c r="C35" s="24"/>
      <c r="D35" s="24"/>
      <c r="E35" s="28"/>
      <c r="F35" s="22"/>
      <c r="H35" s="391"/>
      <c r="I35" s="392"/>
      <c r="J35" s="348" t="s">
        <v>12</v>
      </c>
      <c r="K35" s="349"/>
      <c r="L35" s="282">
        <v>0.15</v>
      </c>
      <c r="M35" s="286"/>
      <c r="N35" s="283">
        <f t="shared" si="2"/>
        <v>0</v>
      </c>
    </row>
    <row r="36" spans="2:14" ht="13.5" customHeight="1" thickBot="1" x14ac:dyDescent="0.2">
      <c r="B36" s="244"/>
      <c r="C36" s="245" t="s">
        <v>150</v>
      </c>
      <c r="D36" s="108"/>
      <c r="E36" s="246" t="s">
        <v>146</v>
      </c>
      <c r="F36" s="248"/>
      <c r="H36" s="374"/>
      <c r="I36" s="375"/>
      <c r="J36" s="348" t="s">
        <v>13</v>
      </c>
      <c r="K36" s="349"/>
      <c r="L36" s="282">
        <v>0.2</v>
      </c>
      <c r="M36" s="286"/>
      <c r="N36" s="283">
        <f t="shared" si="2"/>
        <v>0</v>
      </c>
    </row>
    <row r="37" spans="2:14" ht="13.5" customHeight="1" thickBot="1" x14ac:dyDescent="0.2">
      <c r="B37" s="247" t="s">
        <v>145</v>
      </c>
      <c r="C37" s="255" t="s">
        <v>191</v>
      </c>
      <c r="D37" s="266"/>
      <c r="E37" s="258" t="s">
        <v>192</v>
      </c>
      <c r="F37" s="382" t="s">
        <v>205</v>
      </c>
      <c r="H37" s="402" t="s">
        <v>182</v>
      </c>
      <c r="I37" s="401"/>
      <c r="J37" s="348" t="s">
        <v>11</v>
      </c>
      <c r="K37" s="349"/>
      <c r="L37" s="282">
        <v>0.15</v>
      </c>
      <c r="M37" s="286"/>
      <c r="N37" s="283">
        <f t="shared" si="2"/>
        <v>0</v>
      </c>
    </row>
    <row r="38" spans="2:14" ht="13.5" customHeight="1" thickBot="1" x14ac:dyDescent="0.2">
      <c r="B38" s="247" t="s">
        <v>145</v>
      </c>
      <c r="C38" s="107" t="s">
        <v>83</v>
      </c>
      <c r="D38" s="267">
        <f>0.2*D37*D39</f>
        <v>0</v>
      </c>
      <c r="E38" s="61" t="s">
        <v>151</v>
      </c>
      <c r="F38" s="383"/>
      <c r="H38" s="391"/>
      <c r="I38" s="392"/>
      <c r="J38" s="348" t="s">
        <v>12</v>
      </c>
      <c r="K38" s="349"/>
      <c r="L38" s="282">
        <v>0.2</v>
      </c>
      <c r="M38" s="286"/>
      <c r="N38" s="283">
        <f t="shared" si="2"/>
        <v>0</v>
      </c>
    </row>
    <row r="39" spans="2:14" ht="13.5" customHeight="1" thickBot="1" x14ac:dyDescent="0.2">
      <c r="B39" s="247" t="s">
        <v>374</v>
      </c>
      <c r="C39" s="255" t="s">
        <v>377</v>
      </c>
      <c r="D39" s="268"/>
      <c r="E39" s="258"/>
      <c r="F39" s="265" t="s">
        <v>376</v>
      </c>
      <c r="H39" s="374"/>
      <c r="I39" s="375"/>
      <c r="J39" s="348" t="s">
        <v>13</v>
      </c>
      <c r="K39" s="349"/>
      <c r="L39" s="282">
        <v>0.3</v>
      </c>
      <c r="M39" s="286"/>
      <c r="N39" s="283">
        <f t="shared" si="2"/>
        <v>0</v>
      </c>
    </row>
    <row r="40" spans="2:14" ht="13.5" customHeight="1" x14ac:dyDescent="0.15">
      <c r="B40" s="114"/>
      <c r="C40" s="40"/>
      <c r="D40" s="40"/>
      <c r="E40" s="28"/>
      <c r="F40" s="44"/>
      <c r="H40" s="359" t="s">
        <v>15</v>
      </c>
      <c r="I40" s="360"/>
      <c r="J40" s="348"/>
      <c r="K40" s="349"/>
      <c r="L40" s="282">
        <v>0.9</v>
      </c>
      <c r="M40" s="286"/>
      <c r="N40" s="283">
        <f t="shared" si="2"/>
        <v>0</v>
      </c>
    </row>
    <row r="41" spans="2:14" ht="13.5" customHeight="1" thickBot="1" x14ac:dyDescent="0.2">
      <c r="B41" s="244"/>
      <c r="C41" s="245" t="s">
        <v>203</v>
      </c>
      <c r="D41" s="107"/>
      <c r="E41" s="253" t="s">
        <v>146</v>
      </c>
      <c r="F41" s="248"/>
      <c r="H41" s="359" t="s">
        <v>183</v>
      </c>
      <c r="I41" s="360"/>
      <c r="J41" s="348"/>
      <c r="K41" s="349"/>
      <c r="L41" s="282">
        <v>0.3</v>
      </c>
      <c r="M41" s="286"/>
      <c r="N41" s="283">
        <f t="shared" si="2"/>
        <v>0</v>
      </c>
    </row>
    <row r="42" spans="2:14" ht="13.5" customHeight="1" thickBot="1" x14ac:dyDescent="0.2">
      <c r="B42" s="249" t="s">
        <v>145</v>
      </c>
      <c r="C42" s="108" t="s">
        <v>200</v>
      </c>
      <c r="D42" s="272" t="str">
        <f>IF(E42=1,"側溝","管渠")</f>
        <v>管渠</v>
      </c>
      <c r="E42" s="254"/>
      <c r="F42" s="197" t="s">
        <v>463</v>
      </c>
      <c r="G42" s="40"/>
      <c r="H42" s="359" t="s">
        <v>184</v>
      </c>
      <c r="I42" s="360"/>
      <c r="J42" s="348"/>
      <c r="K42" s="349"/>
      <c r="L42" s="282">
        <v>0.2</v>
      </c>
      <c r="M42" s="286"/>
      <c r="N42" s="283">
        <f t="shared" si="2"/>
        <v>0</v>
      </c>
    </row>
    <row r="43" spans="2:14" ht="13.5" customHeight="1" thickTop="1" x14ac:dyDescent="0.15">
      <c r="B43" s="269" t="s">
        <v>145</v>
      </c>
      <c r="C43" s="273" t="s">
        <v>152</v>
      </c>
      <c r="D43" s="292"/>
      <c r="E43" s="233" t="s">
        <v>148</v>
      </c>
      <c r="F43" s="328" t="s">
        <v>477</v>
      </c>
      <c r="G43" s="40"/>
      <c r="H43" s="359" t="s">
        <v>18</v>
      </c>
      <c r="I43" s="360"/>
      <c r="J43" s="348"/>
      <c r="K43" s="349"/>
      <c r="L43" s="282">
        <v>0.3</v>
      </c>
      <c r="M43" s="286"/>
      <c r="N43" s="283">
        <f t="shared" si="2"/>
        <v>0</v>
      </c>
    </row>
    <row r="44" spans="2:14" ht="13.5" customHeight="1" thickBot="1" x14ac:dyDescent="0.2">
      <c r="B44" s="270" t="s">
        <v>145</v>
      </c>
      <c r="C44" s="274" t="s">
        <v>153</v>
      </c>
      <c r="D44" s="293"/>
      <c r="E44" s="235" t="s">
        <v>148</v>
      </c>
      <c r="F44" s="329" t="s">
        <v>479</v>
      </c>
      <c r="G44" s="40"/>
      <c r="H44" s="359" t="s">
        <v>19</v>
      </c>
      <c r="I44" s="360"/>
      <c r="J44" s="348"/>
      <c r="K44" s="349"/>
      <c r="L44" s="282">
        <v>0.5</v>
      </c>
      <c r="M44" s="286"/>
      <c r="N44" s="283">
        <f t="shared" si="2"/>
        <v>0</v>
      </c>
    </row>
    <row r="45" spans="2:14" ht="13.5" customHeight="1" thickTop="1" thickBot="1" x14ac:dyDescent="0.2">
      <c r="B45" s="271" t="s">
        <v>145</v>
      </c>
      <c r="C45" s="275" t="s">
        <v>154</v>
      </c>
      <c r="D45" s="294"/>
      <c r="E45" s="276" t="s">
        <v>148</v>
      </c>
      <c r="F45" s="327" t="s">
        <v>478</v>
      </c>
      <c r="G45" s="40"/>
      <c r="H45" s="359" t="s">
        <v>20</v>
      </c>
      <c r="I45" s="360"/>
      <c r="J45" s="348"/>
      <c r="K45" s="349"/>
      <c r="L45" s="282">
        <v>0.8</v>
      </c>
      <c r="M45" s="286"/>
      <c r="N45" s="283">
        <f t="shared" si="2"/>
        <v>0</v>
      </c>
    </row>
    <row r="46" spans="2:14" ht="13.5" customHeight="1" thickTop="1" thickBot="1" x14ac:dyDescent="0.2">
      <c r="B46" s="363" t="s">
        <v>145</v>
      </c>
      <c r="C46" s="366" t="s">
        <v>155</v>
      </c>
      <c r="D46" s="370"/>
      <c r="E46" s="357"/>
      <c r="F46" s="356" t="s">
        <v>207</v>
      </c>
      <c r="G46" s="40"/>
      <c r="H46" s="359" t="s">
        <v>185</v>
      </c>
      <c r="I46" s="360"/>
      <c r="J46" s="348"/>
      <c r="K46" s="349"/>
      <c r="L46" s="282">
        <v>0.2</v>
      </c>
      <c r="M46" s="287"/>
      <c r="N46" s="283">
        <f t="shared" si="2"/>
        <v>0</v>
      </c>
    </row>
    <row r="47" spans="2:14" ht="13.5" customHeight="1" thickBot="1" x14ac:dyDescent="0.2">
      <c r="B47" s="364"/>
      <c r="C47" s="367"/>
      <c r="D47" s="371"/>
      <c r="E47" s="358"/>
      <c r="F47" s="355"/>
      <c r="G47" s="40"/>
      <c r="H47" s="359"/>
      <c r="I47" s="360"/>
      <c r="J47" s="348"/>
      <c r="K47" s="349"/>
      <c r="L47" s="21"/>
      <c r="M47" s="284"/>
      <c r="N47" s="278"/>
    </row>
    <row r="48" spans="2:14" ht="13.5" customHeight="1" x14ac:dyDescent="0.15">
      <c r="B48" s="365" t="s">
        <v>145</v>
      </c>
      <c r="C48" s="368" t="s">
        <v>387</v>
      </c>
      <c r="D48" s="372">
        <f>L23</f>
        <v>0</v>
      </c>
      <c r="E48" s="350" t="s">
        <v>159</v>
      </c>
      <c r="F48" s="354" t="s">
        <v>447</v>
      </c>
      <c r="G48" s="40"/>
      <c r="H48" s="361" t="s">
        <v>195</v>
      </c>
      <c r="I48" s="362"/>
      <c r="J48" s="362"/>
      <c r="K48" s="362"/>
      <c r="L48" s="280">
        <f>IF(M48=0,0,ROUND(SUM(N28:N47)/M48,2))</f>
        <v>0</v>
      </c>
      <c r="M48" s="281">
        <f>SUM(M28:M47)</f>
        <v>0</v>
      </c>
      <c r="N48" s="279" t="s">
        <v>196</v>
      </c>
    </row>
    <row r="49" spans="2:7" ht="13.5" customHeight="1" x14ac:dyDescent="0.15">
      <c r="B49" s="364"/>
      <c r="C49" s="369"/>
      <c r="D49" s="373"/>
      <c r="E49" s="351"/>
      <c r="F49" s="355"/>
      <c r="G49" s="40"/>
    </row>
    <row r="50" spans="2:7" ht="13.5" customHeight="1" x14ac:dyDescent="0.15">
      <c r="B50" s="114"/>
      <c r="F50" s="44"/>
      <c r="G50" s="40"/>
    </row>
    <row r="51" spans="2:7" ht="13.5" customHeight="1" x14ac:dyDescent="0.15">
      <c r="B51" s="114"/>
      <c r="G51" s="40"/>
    </row>
    <row r="52" spans="2:7" ht="13.5" customHeight="1" x14ac:dyDescent="0.15">
      <c r="B52" s="114"/>
      <c r="G52" s="40"/>
    </row>
    <row r="53" spans="2:7" ht="13.5" customHeight="1" x14ac:dyDescent="0.15">
      <c r="B53" s="114"/>
    </row>
    <row r="54" spans="2:7" ht="13.5" customHeight="1" x14ac:dyDescent="0.15">
      <c r="B54" s="114"/>
    </row>
    <row r="55" spans="2:7" ht="13.5" customHeight="1" x14ac:dyDescent="0.15">
      <c r="B55" s="114"/>
    </row>
    <row r="56" spans="2:7" x14ac:dyDescent="0.15">
      <c r="B56" s="114"/>
    </row>
    <row r="57" spans="2:7" x14ac:dyDescent="0.15">
      <c r="B57" s="114"/>
    </row>
    <row r="58" spans="2:7" x14ac:dyDescent="0.15">
      <c r="B58" s="114"/>
    </row>
    <row r="59" spans="2:7" x14ac:dyDescent="0.15">
      <c r="B59" s="114"/>
    </row>
    <row r="60" spans="2:7" x14ac:dyDescent="0.15">
      <c r="B60" s="114"/>
    </row>
    <row r="61" spans="2:7" x14ac:dyDescent="0.15">
      <c r="B61" s="114"/>
    </row>
    <row r="62" spans="2:7" x14ac:dyDescent="0.15">
      <c r="B62" s="114"/>
    </row>
    <row r="63" spans="2:7" x14ac:dyDescent="0.15">
      <c r="B63" s="114"/>
    </row>
    <row r="64" spans="2:7" x14ac:dyDescent="0.15">
      <c r="B64" s="114"/>
    </row>
    <row r="65" spans="2:2" x14ac:dyDescent="0.15">
      <c r="B65" s="114"/>
    </row>
    <row r="66" spans="2:2" x14ac:dyDescent="0.15">
      <c r="B66" s="114"/>
    </row>
    <row r="67" spans="2:2" x14ac:dyDescent="0.15">
      <c r="B67" s="114"/>
    </row>
    <row r="68" spans="2:2" x14ac:dyDescent="0.15">
      <c r="B68" s="114"/>
    </row>
    <row r="69" spans="2:2" x14ac:dyDescent="0.15">
      <c r="B69" s="114"/>
    </row>
    <row r="70" spans="2:2" x14ac:dyDescent="0.15">
      <c r="B70" s="114"/>
    </row>
    <row r="71" spans="2:2" x14ac:dyDescent="0.15">
      <c r="B71" s="114"/>
    </row>
    <row r="72" spans="2:2" x14ac:dyDescent="0.15">
      <c r="B72" s="114"/>
    </row>
    <row r="73" spans="2:2" x14ac:dyDescent="0.15">
      <c r="B73" s="114"/>
    </row>
    <row r="74" spans="2:2" x14ac:dyDescent="0.15">
      <c r="B74" s="114"/>
    </row>
    <row r="75" spans="2:2" x14ac:dyDescent="0.15">
      <c r="B75" s="114"/>
    </row>
    <row r="76" spans="2:2" x14ac:dyDescent="0.15">
      <c r="B76" s="114"/>
    </row>
    <row r="77" spans="2:2" x14ac:dyDescent="0.15">
      <c r="B77" s="114"/>
    </row>
    <row r="78" spans="2:2" x14ac:dyDescent="0.15">
      <c r="B78" s="114"/>
    </row>
    <row r="79" spans="2:2" x14ac:dyDescent="0.15">
      <c r="B79" s="114"/>
    </row>
    <row r="80" spans="2:2" x14ac:dyDescent="0.15">
      <c r="B80" s="114"/>
    </row>
    <row r="81" spans="2:2" x14ac:dyDescent="0.15">
      <c r="B81" s="114"/>
    </row>
    <row r="82" spans="2:2" x14ac:dyDescent="0.15">
      <c r="B82" s="114"/>
    </row>
    <row r="83" spans="2:2" x14ac:dyDescent="0.15">
      <c r="B83" s="114"/>
    </row>
    <row r="84" spans="2:2" x14ac:dyDescent="0.15">
      <c r="B84" s="114"/>
    </row>
    <row r="85" spans="2:2" x14ac:dyDescent="0.15">
      <c r="B85" s="114"/>
    </row>
    <row r="86" spans="2:2" x14ac:dyDescent="0.15">
      <c r="B86" s="114"/>
    </row>
    <row r="87" spans="2:2" x14ac:dyDescent="0.15">
      <c r="B87" s="114"/>
    </row>
    <row r="88" spans="2:2" x14ac:dyDescent="0.15">
      <c r="B88" s="114"/>
    </row>
    <row r="89" spans="2:2" x14ac:dyDescent="0.15">
      <c r="B89" s="114"/>
    </row>
  </sheetData>
  <mergeCells count="64">
    <mergeCell ref="L1:N1"/>
    <mergeCell ref="J41:K41"/>
    <mergeCell ref="H32:I33"/>
    <mergeCell ref="J39:K39"/>
    <mergeCell ref="H34:I34"/>
    <mergeCell ref="H35:I35"/>
    <mergeCell ref="H39:I39"/>
    <mergeCell ref="H37:I37"/>
    <mergeCell ref="J35:K35"/>
    <mergeCell ref="J33:K33"/>
    <mergeCell ref="J32:K32"/>
    <mergeCell ref="J28:K28"/>
    <mergeCell ref="J29:K29"/>
    <mergeCell ref="J30:K30"/>
    <mergeCell ref="A2:F2"/>
    <mergeCell ref="F10:F12"/>
    <mergeCell ref="H28:I29"/>
    <mergeCell ref="F37:F38"/>
    <mergeCell ref="H30:I31"/>
    <mergeCell ref="H26:K27"/>
    <mergeCell ref="H38:I38"/>
    <mergeCell ref="J31:K31"/>
    <mergeCell ref="G2:I2"/>
    <mergeCell ref="D20:D21"/>
    <mergeCell ref="E20:E21"/>
    <mergeCell ref="B20:B21"/>
    <mergeCell ref="C20:C21"/>
    <mergeCell ref="J34:K34"/>
    <mergeCell ref="F33:F34"/>
    <mergeCell ref="F20:F21"/>
    <mergeCell ref="H45:I45"/>
    <mergeCell ref="J47:K47"/>
    <mergeCell ref="J45:K45"/>
    <mergeCell ref="H36:I36"/>
    <mergeCell ref="H44:I44"/>
    <mergeCell ref="H41:I41"/>
    <mergeCell ref="H40:I40"/>
    <mergeCell ref="J44:K44"/>
    <mergeCell ref="H42:I42"/>
    <mergeCell ref="H43:I43"/>
    <mergeCell ref="J42:K42"/>
    <mergeCell ref="J43:K43"/>
    <mergeCell ref="J40:K40"/>
    <mergeCell ref="B46:B47"/>
    <mergeCell ref="B48:B49"/>
    <mergeCell ref="C46:C47"/>
    <mergeCell ref="C48:C49"/>
    <mergeCell ref="D46:D47"/>
    <mergeCell ref="D48:D49"/>
    <mergeCell ref="F48:F49"/>
    <mergeCell ref="E48:E49"/>
    <mergeCell ref="F46:F47"/>
    <mergeCell ref="E46:E47"/>
    <mergeCell ref="H46:I46"/>
    <mergeCell ref="H47:I47"/>
    <mergeCell ref="H48:K48"/>
    <mergeCell ref="J46:K46"/>
    <mergeCell ref="C33:C34"/>
    <mergeCell ref="B33:B34"/>
    <mergeCell ref="J37:K37"/>
    <mergeCell ref="J38:K38"/>
    <mergeCell ref="J36:K36"/>
    <mergeCell ref="E33:E34"/>
    <mergeCell ref="D33:D34"/>
  </mergeCells>
  <phoneticPr fontId="2"/>
  <printOptions horizontalCentered="1"/>
  <pageMargins left="0.39370078740157483" right="0.39370078740157483" top="0.78740157480314965" bottom="0.19685039370078741" header="0.19685039370078741" footer="0.19685039370078741"/>
  <pageSetup paperSize="9" scale="8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4EE0B-F19A-4511-9D36-8704AE6F0600}">
  <dimension ref="B1:M142"/>
  <sheetViews>
    <sheetView view="pageBreakPreview" zoomScale="75" zoomScaleNormal="100" zoomScaleSheetLayoutView="75" workbookViewId="0">
      <selection activeCell="I55" sqref="I55"/>
    </sheetView>
  </sheetViews>
  <sheetFormatPr defaultColWidth="8.75" defaultRowHeight="13.5" x14ac:dyDescent="0.15"/>
  <cols>
    <col min="1" max="1" width="2.625" style="148" customWidth="1"/>
    <col min="2" max="2" width="30.625" style="148" customWidth="1"/>
    <col min="3" max="3" width="6.125" style="173" customWidth="1"/>
    <col min="4" max="4" width="4.25" style="174" customWidth="1"/>
    <col min="5" max="5" width="12.75" style="175" bestFit="1" customWidth="1"/>
    <col min="6" max="8" width="8.75" style="148"/>
    <col min="9" max="9" width="20.625" style="148" customWidth="1"/>
    <col min="10" max="10" width="12.625" style="148" customWidth="1"/>
    <col min="11" max="11" width="2.625" style="148" customWidth="1"/>
    <col min="12" max="16384" width="8.75" style="148"/>
  </cols>
  <sheetData>
    <row r="1" spans="2:13" ht="14.25" thickBot="1" x14ac:dyDescent="0.2"/>
    <row r="2" spans="2:13" ht="20.100000000000001" customHeight="1" thickBot="1" x14ac:dyDescent="0.2">
      <c r="B2" s="176" t="s">
        <v>403</v>
      </c>
      <c r="C2" s="154"/>
      <c r="D2" s="147"/>
      <c r="E2" s="177"/>
      <c r="F2" s="146" t="s">
        <v>239</v>
      </c>
      <c r="G2" s="146"/>
      <c r="H2" s="146"/>
      <c r="I2" s="146"/>
      <c r="J2" s="146"/>
      <c r="K2" s="146"/>
      <c r="L2" s="146"/>
      <c r="M2" s="146"/>
    </row>
    <row r="3" spans="2:13" ht="20.100000000000001" customHeight="1" x14ac:dyDescent="0.15">
      <c r="B3" s="178" t="s">
        <v>267</v>
      </c>
      <c r="C3" s="154"/>
      <c r="D3" s="147"/>
      <c r="E3" s="179"/>
      <c r="F3" s="146"/>
      <c r="G3" s="146"/>
      <c r="H3" s="146"/>
      <c r="I3" s="146"/>
      <c r="J3" s="146"/>
      <c r="K3" s="146"/>
      <c r="L3" s="146"/>
      <c r="M3" s="146"/>
    </row>
    <row r="4" spans="2:13" ht="20.100000000000001" customHeight="1" x14ac:dyDescent="0.15">
      <c r="B4" s="150"/>
      <c r="C4" s="154"/>
      <c r="D4" s="147"/>
      <c r="E4" s="179"/>
      <c r="F4" s="146"/>
      <c r="G4" s="146"/>
      <c r="H4" s="146"/>
      <c r="I4" s="146"/>
      <c r="J4" s="146"/>
      <c r="K4" s="146"/>
      <c r="L4" s="146"/>
      <c r="M4" s="146"/>
    </row>
    <row r="5" spans="2:13" ht="20.100000000000001" customHeight="1" x14ac:dyDescent="0.15">
      <c r="B5" s="150" t="s">
        <v>268</v>
      </c>
      <c r="C5" s="154"/>
      <c r="D5" s="147"/>
      <c r="E5" s="180"/>
      <c r="F5" s="146"/>
      <c r="G5" s="151"/>
      <c r="H5" s="146"/>
      <c r="I5" s="146"/>
      <c r="J5" s="146"/>
      <c r="K5" s="146"/>
      <c r="L5" s="146"/>
      <c r="M5" s="146"/>
    </row>
    <row r="6" spans="2:13" ht="20.100000000000001" customHeight="1" thickBot="1" x14ac:dyDescent="0.2">
      <c r="B6" s="150"/>
      <c r="C6" s="154"/>
      <c r="D6" s="147"/>
      <c r="E6" s="180"/>
      <c r="F6" s="146"/>
      <c r="G6" s="151" t="s">
        <v>269</v>
      </c>
      <c r="H6" s="146"/>
      <c r="I6" s="146"/>
      <c r="J6" s="146"/>
      <c r="K6" s="146"/>
      <c r="L6" s="146"/>
      <c r="M6" s="146"/>
    </row>
    <row r="7" spans="2:13" ht="20.100000000000001" customHeight="1" thickBot="1" x14ac:dyDescent="0.2">
      <c r="B7" s="60" t="s">
        <v>270</v>
      </c>
      <c r="C7" s="181" t="s">
        <v>301</v>
      </c>
      <c r="D7" s="182" t="s">
        <v>240</v>
      </c>
      <c r="E7" s="167"/>
      <c r="F7" s="146" t="s">
        <v>92</v>
      </c>
      <c r="G7" s="226" t="s">
        <v>271</v>
      </c>
      <c r="H7" s="146"/>
      <c r="I7" s="146"/>
      <c r="J7" s="146"/>
      <c r="K7" s="146"/>
      <c r="L7" s="146"/>
      <c r="M7" s="146"/>
    </row>
    <row r="8" spans="2:13" ht="20.100000000000001" customHeight="1" thickBot="1" x14ac:dyDescent="0.2">
      <c r="B8" s="60"/>
      <c r="C8" s="181"/>
      <c r="D8" s="182"/>
      <c r="E8" s="183"/>
      <c r="F8" s="146"/>
      <c r="G8" s="151"/>
      <c r="H8" s="146"/>
      <c r="I8" s="146"/>
      <c r="J8" s="146"/>
      <c r="K8" s="146"/>
      <c r="L8" s="146"/>
      <c r="M8" s="146"/>
    </row>
    <row r="9" spans="2:13" ht="20.100000000000001" customHeight="1" thickBot="1" x14ac:dyDescent="0.2">
      <c r="B9" s="60" t="s">
        <v>272</v>
      </c>
      <c r="C9" s="181" t="s">
        <v>302</v>
      </c>
      <c r="D9" s="182" t="s">
        <v>240</v>
      </c>
      <c r="E9" s="227"/>
      <c r="F9" s="146" t="s">
        <v>92</v>
      </c>
      <c r="G9" s="226" t="s">
        <v>273</v>
      </c>
      <c r="H9" s="146"/>
      <c r="I9" s="146"/>
      <c r="J9" s="146"/>
      <c r="K9" s="146"/>
      <c r="L9" s="146"/>
      <c r="M9" s="146"/>
    </row>
    <row r="10" spans="2:13" ht="20.100000000000001" customHeight="1" x14ac:dyDescent="0.15">
      <c r="B10" s="60"/>
      <c r="C10" s="181"/>
      <c r="D10" s="182"/>
      <c r="E10" s="184"/>
      <c r="F10" s="146"/>
      <c r="G10" s="151"/>
      <c r="H10" s="146"/>
      <c r="I10" s="146"/>
      <c r="J10" s="146"/>
      <c r="K10" s="146"/>
      <c r="L10" s="146"/>
      <c r="M10" s="146"/>
    </row>
    <row r="11" spans="2:13" ht="20.100000000000001" customHeight="1" x14ac:dyDescent="0.15">
      <c r="B11" s="146" t="s">
        <v>274</v>
      </c>
      <c r="C11" s="154" t="s">
        <v>303</v>
      </c>
      <c r="D11" s="147" t="s">
        <v>240</v>
      </c>
      <c r="E11" s="180" t="s">
        <v>299</v>
      </c>
      <c r="F11" s="146"/>
      <c r="G11" s="146"/>
      <c r="H11" s="146"/>
      <c r="I11" s="146"/>
      <c r="J11" s="146"/>
      <c r="K11" s="146"/>
      <c r="L11" s="146"/>
      <c r="M11" s="146"/>
    </row>
    <row r="12" spans="2:13" ht="20.100000000000001" customHeight="1" x14ac:dyDescent="0.15">
      <c r="B12" s="146"/>
      <c r="C12" s="154"/>
      <c r="D12" s="147" t="s">
        <v>76</v>
      </c>
      <c r="E12" s="333">
        <f>ROUND(E15*E7^2+E18*E7+E21,3)</f>
        <v>-0.28299999999999997</v>
      </c>
      <c r="F12" s="146" t="s">
        <v>459</v>
      </c>
      <c r="G12" s="146"/>
      <c r="H12" s="146"/>
      <c r="I12" s="146"/>
      <c r="J12" s="146"/>
      <c r="K12" s="146"/>
      <c r="L12" s="146"/>
      <c r="M12" s="146"/>
    </row>
    <row r="13" spans="2:13" ht="20.100000000000001" customHeight="1" x14ac:dyDescent="0.15">
      <c r="B13" s="146"/>
      <c r="C13" s="154"/>
      <c r="D13" s="147"/>
      <c r="E13" s="180"/>
      <c r="F13" s="146"/>
      <c r="G13" s="146"/>
      <c r="H13" s="146"/>
      <c r="I13" s="146"/>
      <c r="J13" s="146"/>
      <c r="K13" s="146"/>
      <c r="L13" s="146"/>
      <c r="M13" s="146"/>
    </row>
    <row r="14" spans="2:13" ht="20.100000000000001" customHeight="1" x14ac:dyDescent="0.15">
      <c r="B14" s="146"/>
      <c r="C14" s="154" t="s">
        <v>304</v>
      </c>
      <c r="D14" s="147" t="s">
        <v>76</v>
      </c>
      <c r="E14" s="180" t="s">
        <v>300</v>
      </c>
      <c r="F14" s="146"/>
      <c r="G14" s="146"/>
      <c r="H14" s="146"/>
      <c r="I14" s="146"/>
      <c r="J14" s="146"/>
      <c r="K14" s="146"/>
      <c r="L14" s="146"/>
      <c r="M14" s="146"/>
    </row>
    <row r="15" spans="2:13" ht="20.100000000000001" customHeight="1" x14ac:dyDescent="0.15">
      <c r="B15" s="146"/>
      <c r="C15" s="154"/>
      <c r="D15" s="147" t="s">
        <v>76</v>
      </c>
      <c r="E15" s="333">
        <f>ROUND(0.12*E9+0.985,3)</f>
        <v>0.98499999999999999</v>
      </c>
      <c r="F15" s="146"/>
      <c r="G15" s="146"/>
      <c r="H15" s="146"/>
      <c r="I15" s="146"/>
      <c r="J15" s="146"/>
      <c r="K15" s="146"/>
      <c r="L15" s="146"/>
      <c r="M15" s="146"/>
    </row>
    <row r="16" spans="2:13" ht="20.100000000000001" customHeight="1" x14ac:dyDescent="0.15">
      <c r="B16" s="146"/>
      <c r="C16" s="154"/>
      <c r="D16" s="147"/>
      <c r="E16" s="185"/>
      <c r="F16" s="146"/>
      <c r="G16" s="146"/>
      <c r="H16" s="146"/>
      <c r="I16" s="146"/>
      <c r="J16" s="146"/>
      <c r="K16" s="146"/>
      <c r="L16" s="146"/>
      <c r="M16" s="146"/>
    </row>
    <row r="17" spans="2:13" ht="20.100000000000001" customHeight="1" x14ac:dyDescent="0.15">
      <c r="B17" s="146"/>
      <c r="C17" s="154" t="s">
        <v>70</v>
      </c>
      <c r="D17" s="147" t="s">
        <v>76</v>
      </c>
      <c r="E17" s="180" t="s">
        <v>306</v>
      </c>
      <c r="F17" s="146"/>
      <c r="G17" s="146"/>
      <c r="H17" s="146"/>
      <c r="I17" s="146"/>
      <c r="J17" s="146"/>
      <c r="K17" s="146"/>
      <c r="L17" s="146"/>
      <c r="M17" s="146"/>
    </row>
    <row r="18" spans="2:13" ht="20.100000000000001" customHeight="1" x14ac:dyDescent="0.15">
      <c r="D18" s="147" t="s">
        <v>76</v>
      </c>
      <c r="E18" s="333">
        <f>ROUND(7.837*E9+0.82,3)</f>
        <v>0.82</v>
      </c>
    </row>
    <row r="19" spans="2:13" ht="20.100000000000001" customHeight="1" x14ac:dyDescent="0.15">
      <c r="D19" s="147"/>
      <c r="E19" s="180"/>
    </row>
    <row r="20" spans="2:13" ht="20.100000000000001" customHeight="1" x14ac:dyDescent="0.15">
      <c r="C20" s="154" t="s">
        <v>305</v>
      </c>
      <c r="D20" s="147" t="s">
        <v>76</v>
      </c>
      <c r="E20" s="180" t="s">
        <v>307</v>
      </c>
    </row>
    <row r="21" spans="2:13" ht="20.100000000000001" customHeight="1" x14ac:dyDescent="0.15">
      <c r="D21" s="147" t="s">
        <v>76</v>
      </c>
      <c r="E21" s="333">
        <f>ROUND(2.858*E9-0.283,3)</f>
        <v>-0.28299999999999997</v>
      </c>
    </row>
    <row r="22" spans="2:13" ht="20.100000000000001" customHeight="1" x14ac:dyDescent="0.15"/>
    <row r="23" spans="2:13" ht="20.100000000000001" customHeight="1" x14ac:dyDescent="0.15">
      <c r="B23" s="146" t="s">
        <v>275</v>
      </c>
      <c r="C23" s="154" t="s">
        <v>308</v>
      </c>
      <c r="D23" s="147" t="s">
        <v>76</v>
      </c>
      <c r="E23" s="340">
        <v>5.0000000000000001E-3</v>
      </c>
      <c r="F23" s="146" t="s">
        <v>241</v>
      </c>
      <c r="G23" s="146" t="s">
        <v>474</v>
      </c>
      <c r="H23" s="146"/>
      <c r="I23" s="146"/>
      <c r="J23" s="146"/>
      <c r="K23" s="146"/>
      <c r="L23" s="146"/>
      <c r="M23" s="146"/>
    </row>
    <row r="24" spans="2:13" ht="20.100000000000001" customHeight="1" x14ac:dyDescent="0.15">
      <c r="B24" s="146"/>
      <c r="C24" s="154"/>
      <c r="D24" s="147"/>
      <c r="E24" s="332"/>
      <c r="F24" s="146"/>
      <c r="G24" s="146"/>
      <c r="H24" s="146"/>
      <c r="I24" s="146"/>
      <c r="J24" s="146"/>
      <c r="K24" s="146"/>
      <c r="L24" s="146"/>
      <c r="M24" s="146"/>
    </row>
    <row r="25" spans="2:13" ht="20.100000000000001" customHeight="1" x14ac:dyDescent="0.15">
      <c r="B25" s="146" t="s">
        <v>276</v>
      </c>
      <c r="C25" s="154" t="s">
        <v>310</v>
      </c>
      <c r="D25" s="147" t="s">
        <v>76</v>
      </c>
      <c r="E25" s="180" t="s">
        <v>311</v>
      </c>
      <c r="F25" s="146"/>
      <c r="G25" s="146"/>
      <c r="H25" s="146"/>
      <c r="I25" s="146"/>
      <c r="J25" s="146"/>
      <c r="K25" s="146"/>
      <c r="L25" s="146"/>
      <c r="M25" s="146"/>
    </row>
    <row r="26" spans="2:13" ht="20.100000000000001" customHeight="1" x14ac:dyDescent="0.15">
      <c r="B26" s="146"/>
      <c r="C26" s="154"/>
      <c r="D26" s="147" t="s">
        <v>76</v>
      </c>
      <c r="E26" s="333">
        <f>ROUND(E23*E12*3600/100,3)</f>
        <v>-5.0999999999999997E-2</v>
      </c>
      <c r="F26" s="146" t="s">
        <v>261</v>
      </c>
      <c r="G26" s="146"/>
      <c r="H26" s="146"/>
      <c r="I26" s="146"/>
      <c r="J26" s="146"/>
      <c r="K26" s="146"/>
      <c r="L26" s="146"/>
      <c r="M26" s="146"/>
    </row>
    <row r="27" spans="2:13" ht="20.100000000000001" customHeight="1" x14ac:dyDescent="0.15">
      <c r="B27" s="146"/>
      <c r="C27" s="154"/>
      <c r="D27" s="147"/>
      <c r="E27" s="180"/>
      <c r="F27" s="146"/>
      <c r="G27" s="146"/>
      <c r="H27" s="146"/>
      <c r="I27" s="146"/>
      <c r="J27" s="146"/>
      <c r="K27" s="146"/>
      <c r="L27" s="146"/>
      <c r="M27" s="146"/>
    </row>
    <row r="28" spans="2:13" ht="20.100000000000001" customHeight="1" x14ac:dyDescent="0.15">
      <c r="B28" s="146" t="s">
        <v>277</v>
      </c>
      <c r="C28" s="154" t="s">
        <v>309</v>
      </c>
      <c r="D28" s="147" t="s">
        <v>76</v>
      </c>
      <c r="E28" s="180" t="s">
        <v>312</v>
      </c>
      <c r="F28" s="146"/>
      <c r="G28" s="146"/>
      <c r="H28" s="146"/>
      <c r="I28" s="146"/>
      <c r="J28" s="146"/>
      <c r="K28" s="146"/>
      <c r="L28" s="146"/>
      <c r="M28" s="146"/>
    </row>
    <row r="29" spans="2:13" ht="20.100000000000001" customHeight="1" x14ac:dyDescent="0.15">
      <c r="B29" s="146"/>
      <c r="C29" s="154"/>
      <c r="D29" s="147" t="s">
        <v>76</v>
      </c>
      <c r="E29" s="180">
        <v>0.81</v>
      </c>
      <c r="F29" s="146"/>
      <c r="G29" s="146"/>
      <c r="H29" s="146"/>
      <c r="I29" s="146"/>
      <c r="J29" s="146"/>
      <c r="K29" s="146"/>
      <c r="L29" s="146"/>
      <c r="M29" s="146"/>
    </row>
    <row r="30" spans="2:13" ht="20.100000000000001" customHeight="1" x14ac:dyDescent="0.15">
      <c r="B30" s="146"/>
      <c r="C30" s="154"/>
      <c r="D30" s="147"/>
      <c r="E30" s="180"/>
      <c r="F30" s="146"/>
      <c r="G30" s="146"/>
      <c r="H30" s="146"/>
      <c r="I30" s="146"/>
      <c r="J30" s="146"/>
      <c r="K30" s="146"/>
      <c r="L30" s="146"/>
      <c r="M30" s="146"/>
    </row>
    <row r="31" spans="2:13" ht="20.100000000000001" customHeight="1" x14ac:dyDescent="0.15">
      <c r="B31" s="146" t="s">
        <v>278</v>
      </c>
      <c r="C31" s="154" t="s">
        <v>61</v>
      </c>
      <c r="D31" s="147" t="s">
        <v>76</v>
      </c>
      <c r="E31" s="180" t="s">
        <v>314</v>
      </c>
      <c r="F31" s="146"/>
      <c r="G31" s="146"/>
      <c r="H31" s="146"/>
      <c r="I31" s="146"/>
      <c r="J31" s="146"/>
      <c r="K31" s="146"/>
      <c r="L31" s="146"/>
      <c r="M31" s="146"/>
    </row>
    <row r="32" spans="2:13" ht="20.100000000000001" customHeight="1" x14ac:dyDescent="0.15">
      <c r="B32" s="146"/>
      <c r="C32" s="154"/>
      <c r="D32" s="147" t="s">
        <v>76</v>
      </c>
      <c r="E32" s="333">
        <f>ROUND(E26*E29,3)</f>
        <v>-4.1000000000000002E-2</v>
      </c>
      <c r="F32" s="146" t="s">
        <v>365</v>
      </c>
      <c r="G32" s="146"/>
      <c r="H32" s="146"/>
      <c r="I32" s="146"/>
      <c r="J32" s="146"/>
      <c r="K32" s="146"/>
      <c r="L32" s="146"/>
      <c r="M32" s="146"/>
    </row>
    <row r="33" spans="2:13" ht="20.100000000000001" customHeight="1" x14ac:dyDescent="0.15">
      <c r="B33" s="150" t="s">
        <v>279</v>
      </c>
      <c r="C33" s="154"/>
      <c r="D33" s="147"/>
      <c r="E33" s="180"/>
      <c r="F33" s="146"/>
      <c r="G33" s="146"/>
      <c r="H33" s="146"/>
      <c r="I33" s="32"/>
      <c r="J33" s="32"/>
      <c r="K33" s="146"/>
      <c r="L33" s="146"/>
      <c r="M33" s="146"/>
    </row>
    <row r="34" spans="2:13" ht="20.100000000000001" customHeight="1" thickBot="1" x14ac:dyDescent="0.2">
      <c r="B34" s="150"/>
      <c r="C34" s="154"/>
      <c r="D34" s="147"/>
      <c r="E34" s="180"/>
      <c r="F34" s="146"/>
      <c r="G34" s="146"/>
      <c r="H34" s="146"/>
      <c r="I34" s="44"/>
      <c r="J34" s="44"/>
      <c r="K34" s="146"/>
      <c r="L34" s="146"/>
      <c r="M34" s="146"/>
    </row>
    <row r="35" spans="2:13" ht="20.100000000000001" customHeight="1" thickBot="1" x14ac:dyDescent="0.2">
      <c r="B35" s="146" t="s">
        <v>280</v>
      </c>
      <c r="C35" s="154" t="s">
        <v>315</v>
      </c>
      <c r="D35" s="147" t="s">
        <v>76</v>
      </c>
      <c r="E35" s="167"/>
      <c r="F35" s="146" t="s">
        <v>92</v>
      </c>
      <c r="G35" s="151"/>
      <c r="H35" s="146"/>
      <c r="I35" s="45"/>
      <c r="J35" s="45"/>
      <c r="K35" s="146"/>
      <c r="L35" s="146"/>
      <c r="M35" s="146"/>
    </row>
    <row r="36" spans="2:13" ht="20.100000000000001" customHeight="1" thickBot="1" x14ac:dyDescent="0.2">
      <c r="B36" s="146"/>
      <c r="C36" s="154"/>
      <c r="D36" s="147"/>
      <c r="E36" s="183"/>
      <c r="F36" s="146"/>
      <c r="G36" s="146"/>
      <c r="H36" s="146"/>
      <c r="I36" s="45"/>
      <c r="J36" s="45"/>
      <c r="K36" s="146"/>
      <c r="L36" s="146"/>
      <c r="M36" s="146"/>
    </row>
    <row r="37" spans="2:13" ht="20.100000000000001" customHeight="1" thickBot="1" x14ac:dyDescent="0.2">
      <c r="B37" s="146" t="s">
        <v>281</v>
      </c>
      <c r="C37" s="154" t="s">
        <v>69</v>
      </c>
      <c r="D37" s="147" t="s">
        <v>76</v>
      </c>
      <c r="E37" s="167"/>
      <c r="F37" s="146" t="s">
        <v>92</v>
      </c>
      <c r="G37" s="146"/>
      <c r="H37" s="146"/>
      <c r="I37" s="37"/>
      <c r="J37" s="37"/>
      <c r="K37" s="146"/>
      <c r="L37" s="146"/>
      <c r="M37" s="146"/>
    </row>
    <row r="38" spans="2:13" ht="20.100000000000001" customHeight="1" x14ac:dyDescent="0.15">
      <c r="B38" s="146"/>
      <c r="C38" s="154"/>
      <c r="D38" s="147"/>
      <c r="E38" s="184"/>
      <c r="F38" s="146"/>
      <c r="G38" s="146"/>
      <c r="H38" s="146"/>
      <c r="I38" s="37"/>
      <c r="J38" s="37"/>
      <c r="K38" s="146"/>
      <c r="L38" s="146"/>
      <c r="M38" s="146"/>
    </row>
    <row r="39" spans="2:13" ht="20.100000000000001" customHeight="1" x14ac:dyDescent="0.15">
      <c r="B39" s="146" t="s">
        <v>282</v>
      </c>
      <c r="C39" s="154" t="s">
        <v>316</v>
      </c>
      <c r="D39" s="147" t="s">
        <v>76</v>
      </c>
      <c r="E39" s="180" t="s">
        <v>317</v>
      </c>
      <c r="F39" s="146"/>
      <c r="G39" s="146"/>
      <c r="H39" s="146"/>
      <c r="I39" s="37"/>
      <c r="J39" s="37"/>
      <c r="K39" s="146"/>
      <c r="L39" s="146"/>
      <c r="M39" s="146"/>
    </row>
    <row r="40" spans="2:13" ht="20.100000000000001" customHeight="1" x14ac:dyDescent="0.15">
      <c r="B40" s="146"/>
      <c r="C40" s="154"/>
      <c r="D40" s="147" t="s">
        <v>76</v>
      </c>
      <c r="E40" s="224">
        <f>ROUND(E35^2*E37,3)</f>
        <v>0</v>
      </c>
      <c r="F40" s="146" t="s">
        <v>369</v>
      </c>
      <c r="G40" s="146"/>
      <c r="H40" s="146"/>
      <c r="I40" s="37"/>
      <c r="J40" s="37"/>
      <c r="K40" s="146"/>
      <c r="L40" s="146"/>
      <c r="M40" s="146"/>
    </row>
    <row r="41" spans="2:13" ht="20.100000000000001" customHeight="1" x14ac:dyDescent="0.15">
      <c r="B41" s="146"/>
      <c r="C41" s="154"/>
      <c r="D41" s="147"/>
      <c r="E41" s="180"/>
      <c r="F41" s="146"/>
      <c r="G41" s="146"/>
      <c r="H41" s="146"/>
      <c r="I41" s="37"/>
      <c r="J41" s="37"/>
      <c r="K41" s="146"/>
      <c r="L41" s="146"/>
      <c r="M41" s="146"/>
    </row>
    <row r="42" spans="2:13" ht="20.100000000000001" customHeight="1" x14ac:dyDescent="0.15">
      <c r="B42" s="165" t="s">
        <v>283</v>
      </c>
      <c r="C42" s="154" t="s">
        <v>321</v>
      </c>
      <c r="D42" s="147" t="s">
        <v>240</v>
      </c>
      <c r="E42" s="224">
        <f>E40</f>
        <v>0</v>
      </c>
      <c r="F42" s="146" t="s">
        <v>369</v>
      </c>
      <c r="G42" s="146"/>
      <c r="H42" s="146"/>
      <c r="I42" s="37"/>
      <c r="J42" s="37"/>
      <c r="K42" s="146"/>
      <c r="L42" s="146"/>
      <c r="M42" s="146"/>
    </row>
    <row r="43" spans="2:13" ht="20.100000000000001" customHeight="1" x14ac:dyDescent="0.15">
      <c r="B43" s="146"/>
      <c r="C43" s="154"/>
      <c r="D43" s="147"/>
      <c r="E43" s="180"/>
      <c r="F43" s="146"/>
      <c r="G43" s="146"/>
      <c r="H43" s="146"/>
      <c r="I43" s="37"/>
      <c r="J43" s="37"/>
      <c r="K43" s="146"/>
      <c r="L43" s="146"/>
      <c r="M43" s="146"/>
    </row>
    <row r="44" spans="2:13" ht="20.100000000000001" customHeight="1" x14ac:dyDescent="0.15">
      <c r="B44" s="146" t="s">
        <v>284</v>
      </c>
      <c r="C44" s="154" t="s">
        <v>318</v>
      </c>
      <c r="D44" s="147" t="s">
        <v>76</v>
      </c>
      <c r="E44" s="180" t="s">
        <v>319</v>
      </c>
      <c r="F44" s="146"/>
      <c r="G44" s="146"/>
      <c r="H44" s="146"/>
      <c r="I44" s="146" t="s">
        <v>327</v>
      </c>
      <c r="J44" s="32"/>
      <c r="K44" s="186"/>
      <c r="L44" s="186"/>
      <c r="M44" s="186"/>
    </row>
    <row r="45" spans="2:13" ht="20.100000000000001" customHeight="1" x14ac:dyDescent="0.15">
      <c r="B45" s="146"/>
      <c r="C45" s="154"/>
      <c r="D45" s="147" t="s">
        <v>76</v>
      </c>
      <c r="E45" s="335">
        <f>ROUND(E9*E9*E7-E40,3)</f>
        <v>0</v>
      </c>
      <c r="F45" s="146" t="s">
        <v>369</v>
      </c>
      <c r="G45" s="146"/>
      <c r="H45" s="146"/>
      <c r="I45" s="34" t="s">
        <v>245</v>
      </c>
      <c r="J45" s="34" t="s">
        <v>246</v>
      </c>
      <c r="K45" s="186"/>
      <c r="L45" s="186"/>
      <c r="M45" s="186"/>
    </row>
    <row r="46" spans="2:13" ht="20.100000000000001" customHeight="1" thickBot="1" x14ac:dyDescent="0.2">
      <c r="B46" s="146"/>
      <c r="C46" s="154"/>
      <c r="D46" s="147"/>
      <c r="E46" s="180"/>
      <c r="F46" s="146"/>
      <c r="G46" s="146"/>
      <c r="H46" s="146"/>
      <c r="I46" s="35" t="s">
        <v>248</v>
      </c>
      <c r="J46" s="34">
        <v>0.4</v>
      </c>
      <c r="K46" s="186"/>
      <c r="L46" s="186"/>
      <c r="M46" s="186"/>
    </row>
    <row r="47" spans="2:13" ht="20.100000000000001" customHeight="1" thickBot="1" x14ac:dyDescent="0.2">
      <c r="B47" s="146" t="s">
        <v>285</v>
      </c>
      <c r="C47" s="154"/>
      <c r="D47" s="147"/>
      <c r="E47" s="336"/>
      <c r="F47" s="146" t="s">
        <v>244</v>
      </c>
      <c r="G47" s="146"/>
      <c r="H47" s="146"/>
      <c r="I47" s="35" t="s">
        <v>249</v>
      </c>
      <c r="J47" s="34">
        <v>0.1</v>
      </c>
      <c r="K47" s="186"/>
      <c r="L47" s="186"/>
      <c r="M47" s="186"/>
    </row>
    <row r="48" spans="2:13" ht="20.100000000000001" customHeight="1" x14ac:dyDescent="0.15">
      <c r="B48" s="146"/>
      <c r="C48" s="154"/>
      <c r="D48" s="147"/>
      <c r="E48" s="187"/>
      <c r="F48" s="146"/>
      <c r="G48" s="146"/>
      <c r="H48" s="146"/>
      <c r="I48" s="35" t="s">
        <v>250</v>
      </c>
      <c r="J48" s="34">
        <v>0.1</v>
      </c>
      <c r="K48" s="186"/>
      <c r="L48" s="186"/>
      <c r="M48" s="186"/>
    </row>
    <row r="49" spans="2:13" ht="20.100000000000001" customHeight="1" x14ac:dyDescent="0.15">
      <c r="B49" s="146" t="s">
        <v>286</v>
      </c>
      <c r="C49" s="154" t="s">
        <v>322</v>
      </c>
      <c r="D49" s="147" t="s">
        <v>240</v>
      </c>
      <c r="E49" s="180" t="s">
        <v>320</v>
      </c>
      <c r="F49" s="146"/>
      <c r="G49" s="146"/>
      <c r="H49" s="146"/>
      <c r="I49" s="35" t="s">
        <v>252</v>
      </c>
      <c r="J49" s="34">
        <v>0.1</v>
      </c>
      <c r="K49" s="186"/>
      <c r="L49" s="186"/>
      <c r="M49" s="186"/>
    </row>
    <row r="50" spans="2:13" ht="20.100000000000001" customHeight="1" x14ac:dyDescent="0.15">
      <c r="B50" s="146"/>
      <c r="C50" s="154"/>
      <c r="D50" s="147" t="s">
        <v>76</v>
      </c>
      <c r="E50" s="333">
        <f>ROUND(E45*E47,3)</f>
        <v>0</v>
      </c>
      <c r="F50" s="146" t="s">
        <v>369</v>
      </c>
      <c r="G50" s="146"/>
      <c r="H50" s="146"/>
      <c r="I50" s="35" t="s">
        <v>253</v>
      </c>
      <c r="J50" s="34">
        <v>0.1</v>
      </c>
      <c r="K50" s="186"/>
      <c r="L50" s="186"/>
      <c r="M50" s="186"/>
    </row>
    <row r="51" spans="2:13" ht="20.100000000000001" customHeight="1" x14ac:dyDescent="0.15">
      <c r="B51" s="146"/>
      <c r="C51" s="154"/>
      <c r="D51" s="147"/>
      <c r="E51" s="180"/>
      <c r="F51" s="146"/>
      <c r="G51" s="146"/>
      <c r="H51" s="146"/>
      <c r="I51" s="35" t="s">
        <v>254</v>
      </c>
      <c r="J51" s="34">
        <v>0.2</v>
      </c>
      <c r="K51" s="186"/>
      <c r="L51" s="186"/>
      <c r="M51" s="186"/>
    </row>
    <row r="52" spans="2:13" ht="20.100000000000001" customHeight="1" x14ac:dyDescent="0.15">
      <c r="B52" s="146" t="s">
        <v>362</v>
      </c>
      <c r="C52" s="154" t="s">
        <v>323</v>
      </c>
      <c r="D52" s="147" t="s">
        <v>240</v>
      </c>
      <c r="E52" s="333">
        <f>E42+E50</f>
        <v>0</v>
      </c>
      <c r="F52" s="146" t="s">
        <v>369</v>
      </c>
      <c r="G52" s="146"/>
      <c r="H52" s="146"/>
      <c r="I52" s="36" t="s">
        <v>256</v>
      </c>
      <c r="J52" s="164" t="s">
        <v>257</v>
      </c>
      <c r="K52" s="146"/>
      <c r="L52" s="146"/>
      <c r="M52" s="146"/>
    </row>
    <row r="53" spans="2:13" ht="20.100000000000001" customHeight="1" thickBot="1" x14ac:dyDescent="0.2">
      <c r="B53" s="146"/>
      <c r="C53" s="154"/>
      <c r="D53" s="147"/>
      <c r="E53" s="180"/>
      <c r="F53" s="146"/>
      <c r="G53" s="146"/>
      <c r="H53" s="146"/>
      <c r="I53" s="146"/>
      <c r="J53" s="146"/>
      <c r="K53" s="146"/>
      <c r="L53" s="146"/>
      <c r="M53" s="146"/>
    </row>
    <row r="54" spans="2:13" ht="20.100000000000001" customHeight="1" thickBot="1" x14ac:dyDescent="0.2">
      <c r="B54" s="146" t="s">
        <v>324</v>
      </c>
      <c r="C54" s="154"/>
      <c r="D54" s="147" t="s">
        <v>76</v>
      </c>
      <c r="E54" s="229"/>
      <c r="F54" s="146" t="s">
        <v>462</v>
      </c>
      <c r="G54" s="146"/>
      <c r="H54" s="146"/>
      <c r="I54" s="146"/>
      <c r="J54" s="146"/>
      <c r="K54" s="146"/>
      <c r="L54" s="146"/>
      <c r="M54" s="146"/>
    </row>
    <row r="55" spans="2:13" ht="20.100000000000001" customHeight="1" x14ac:dyDescent="0.15"/>
    <row r="56" spans="2:13" s="146" customFormat="1" ht="20.100000000000001" customHeight="1" x14ac:dyDescent="0.15">
      <c r="B56" s="42" t="s">
        <v>364</v>
      </c>
      <c r="C56" s="59" t="s">
        <v>313</v>
      </c>
      <c r="D56" s="147" t="s">
        <v>76</v>
      </c>
      <c r="E56" s="180" t="s">
        <v>363</v>
      </c>
    </row>
    <row r="57" spans="2:13" s="146" customFormat="1" ht="20.100000000000001" customHeight="1" x14ac:dyDescent="0.15">
      <c r="C57" s="154"/>
      <c r="D57" s="147" t="s">
        <v>76</v>
      </c>
      <c r="E57" s="337">
        <f>ROUND(E54*E32,3)</f>
        <v>0</v>
      </c>
      <c r="F57" s="146" t="s">
        <v>365</v>
      </c>
    </row>
    <row r="58" spans="2:13" s="146" customFormat="1" ht="20.100000000000001" customHeight="1" x14ac:dyDescent="0.15">
      <c r="C58" s="154"/>
      <c r="D58" s="147"/>
      <c r="E58" s="188"/>
    </row>
    <row r="59" spans="2:13" s="146" customFormat="1" ht="20.100000000000001" customHeight="1" x14ac:dyDescent="0.15">
      <c r="B59" s="42" t="s">
        <v>366</v>
      </c>
      <c r="C59" s="59" t="s">
        <v>367</v>
      </c>
      <c r="D59" s="147" t="s">
        <v>76</v>
      </c>
      <c r="E59" s="180" t="s">
        <v>368</v>
      </c>
    </row>
    <row r="60" spans="2:13" s="146" customFormat="1" ht="20.100000000000001" customHeight="1" x14ac:dyDescent="0.15">
      <c r="C60" s="154"/>
      <c r="D60" s="147" t="s">
        <v>76</v>
      </c>
      <c r="E60" s="337">
        <f>ROUND(E54*E52,3)</f>
        <v>0</v>
      </c>
      <c r="F60" s="146" t="s">
        <v>369</v>
      </c>
    </row>
    <row r="61" spans="2:13" s="146" customFormat="1" ht="20.100000000000001" customHeight="1" x14ac:dyDescent="0.15">
      <c r="C61" s="154"/>
      <c r="D61" s="147"/>
      <c r="E61" s="180"/>
    </row>
    <row r="62" spans="2:13" s="146" customFormat="1" ht="20.100000000000001" customHeight="1" x14ac:dyDescent="0.15">
      <c r="C62" s="154"/>
      <c r="D62" s="147"/>
      <c r="E62" s="180"/>
    </row>
    <row r="63" spans="2:13" s="146" customFormat="1" ht="20.100000000000001" customHeight="1" x14ac:dyDescent="0.15">
      <c r="B63" s="150" t="s">
        <v>406</v>
      </c>
      <c r="C63" s="154"/>
      <c r="D63" s="147"/>
      <c r="E63" s="180"/>
    </row>
    <row r="64" spans="2:13" s="146" customFormat="1" ht="20.100000000000001" customHeight="1" x14ac:dyDescent="0.15">
      <c r="C64" s="154"/>
      <c r="D64" s="147"/>
      <c r="E64" s="180"/>
    </row>
    <row r="65" spans="3:5" s="146" customFormat="1" ht="20.100000000000001" customHeight="1" x14ac:dyDescent="0.15">
      <c r="C65" s="154"/>
      <c r="D65" s="147"/>
      <c r="E65" s="180"/>
    </row>
    <row r="66" spans="3:5" s="146" customFormat="1" ht="20.100000000000001" customHeight="1" x14ac:dyDescent="0.15">
      <c r="C66" s="154"/>
      <c r="D66" s="147"/>
      <c r="E66" s="180"/>
    </row>
    <row r="67" spans="3:5" s="146" customFormat="1" ht="20.100000000000001" customHeight="1" x14ac:dyDescent="0.15">
      <c r="C67" s="154"/>
      <c r="D67" s="147"/>
      <c r="E67" s="180"/>
    </row>
    <row r="68" spans="3:5" ht="20.100000000000001" customHeight="1" x14ac:dyDescent="0.15"/>
    <row r="69" spans="3:5" ht="20.100000000000001" customHeight="1" x14ac:dyDescent="0.15"/>
    <row r="70" spans="3:5" ht="20.100000000000001" customHeight="1" x14ac:dyDescent="0.15"/>
    <row r="71" spans="3:5" ht="20.100000000000001" customHeight="1" x14ac:dyDescent="0.15"/>
    <row r="72" spans="3:5" ht="20.100000000000001" customHeight="1" x14ac:dyDescent="0.15"/>
    <row r="73" spans="3:5" ht="20.100000000000001" customHeight="1" x14ac:dyDescent="0.15"/>
    <row r="74" spans="3:5" ht="20.100000000000001" customHeight="1" x14ac:dyDescent="0.15"/>
    <row r="75" spans="3:5" ht="20.100000000000001" customHeight="1" x14ac:dyDescent="0.15"/>
    <row r="76" spans="3:5" ht="20.100000000000001" customHeight="1" x14ac:dyDescent="0.15"/>
    <row r="77" spans="3:5" ht="20.100000000000001" customHeight="1" x14ac:dyDescent="0.15"/>
    <row r="78" spans="3:5" ht="20.100000000000001" customHeight="1" x14ac:dyDescent="0.15"/>
    <row r="79" spans="3:5" ht="20.100000000000001" customHeight="1" x14ac:dyDescent="0.15"/>
    <row r="80" spans="3:5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</sheetData>
  <phoneticPr fontId="2"/>
  <printOptions horizontalCentered="1"/>
  <pageMargins left="0.59055118110236227" right="0.39370078740157483" top="0.59055118110236227" bottom="0.39370078740157483" header="0.19685039370078741" footer="0.19685039370078741"/>
  <pageSetup paperSize="9" scale="65" fitToWidth="0" orientation="portrait" r:id="rId1"/>
  <rowBreaks count="1" manualBreakCount="1">
    <brk id="6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B93CD-548C-4F73-9723-34A619B0D29C}">
  <dimension ref="B1:L144"/>
  <sheetViews>
    <sheetView view="pageBreakPreview" zoomScale="75" zoomScaleNormal="100" zoomScaleSheetLayoutView="75" workbookViewId="0">
      <selection activeCell="I54" sqref="I54"/>
    </sheetView>
  </sheetViews>
  <sheetFormatPr defaultColWidth="8.75" defaultRowHeight="13.5" x14ac:dyDescent="0.15"/>
  <cols>
    <col min="1" max="1" width="2.625" style="148" customWidth="1"/>
    <col min="2" max="2" width="30.625" style="148" customWidth="1"/>
    <col min="3" max="3" width="6.125" style="173" bestFit="1" customWidth="1"/>
    <col min="4" max="4" width="4.125" style="174" customWidth="1"/>
    <col min="5" max="5" width="12.75" style="175" bestFit="1" customWidth="1"/>
    <col min="6" max="8" width="8.75" style="148"/>
    <col min="9" max="9" width="20.625" style="148" customWidth="1"/>
    <col min="10" max="10" width="12.625" style="148" customWidth="1"/>
    <col min="11" max="11" width="2.625" style="148" customWidth="1"/>
    <col min="12" max="16384" width="8.75" style="148"/>
  </cols>
  <sheetData>
    <row r="1" spans="2:12" ht="14.25" thickBot="1" x14ac:dyDescent="0.2"/>
    <row r="2" spans="2:12" ht="20.100000000000001" customHeight="1" thickBot="1" x14ac:dyDescent="0.2">
      <c r="B2" s="176" t="s">
        <v>407</v>
      </c>
      <c r="C2" s="154"/>
      <c r="D2" s="147"/>
      <c r="E2" s="177"/>
      <c r="F2" s="146" t="s">
        <v>239</v>
      </c>
      <c r="G2" s="146"/>
      <c r="H2" s="146"/>
      <c r="I2" s="146"/>
      <c r="J2" s="146"/>
      <c r="K2" s="146"/>
      <c r="L2" s="146"/>
    </row>
    <row r="3" spans="2:12" ht="20.100000000000001" customHeight="1" x14ac:dyDescent="0.15">
      <c r="B3" s="178" t="s">
        <v>288</v>
      </c>
      <c r="C3" s="154"/>
      <c r="D3" s="147"/>
      <c r="E3" s="179"/>
      <c r="F3" s="146"/>
      <c r="G3" s="146"/>
      <c r="H3" s="146"/>
      <c r="I3" s="146"/>
      <c r="J3" s="146"/>
      <c r="K3" s="146"/>
      <c r="L3" s="146"/>
    </row>
    <row r="4" spans="2:12" ht="20.100000000000001" customHeight="1" x14ac:dyDescent="0.15">
      <c r="B4" s="150"/>
      <c r="C4" s="154"/>
      <c r="D4" s="147"/>
      <c r="E4" s="179"/>
      <c r="F4" s="146"/>
      <c r="G4" s="146"/>
      <c r="H4" s="146"/>
      <c r="I4" s="146"/>
      <c r="J4" s="146"/>
      <c r="K4" s="146"/>
      <c r="L4" s="146"/>
    </row>
    <row r="5" spans="2:12" ht="20.100000000000001" customHeight="1" x14ac:dyDescent="0.15">
      <c r="B5" s="150" t="s">
        <v>268</v>
      </c>
      <c r="C5" s="154"/>
      <c r="D5" s="147"/>
      <c r="E5" s="180"/>
      <c r="F5" s="146"/>
      <c r="H5" s="146"/>
      <c r="I5" s="146"/>
      <c r="J5" s="146"/>
      <c r="K5" s="146"/>
      <c r="L5" s="146"/>
    </row>
    <row r="6" spans="2:12" ht="20.100000000000001" customHeight="1" thickBot="1" x14ac:dyDescent="0.2">
      <c r="B6" s="150"/>
      <c r="C6" s="154"/>
      <c r="D6" s="147"/>
      <c r="E6" s="180"/>
      <c r="F6" s="146"/>
      <c r="G6" s="151" t="s">
        <v>269</v>
      </c>
      <c r="H6" s="146"/>
      <c r="I6" s="146"/>
      <c r="J6" s="146"/>
      <c r="K6" s="146"/>
      <c r="L6" s="146"/>
    </row>
    <row r="7" spans="2:12" ht="20.100000000000001" customHeight="1" thickBot="1" x14ac:dyDescent="0.2">
      <c r="B7" s="60" t="s">
        <v>270</v>
      </c>
      <c r="C7" s="181" t="s">
        <v>301</v>
      </c>
      <c r="D7" s="182" t="s">
        <v>240</v>
      </c>
      <c r="E7" s="167"/>
      <c r="F7" s="146" t="s">
        <v>92</v>
      </c>
      <c r="G7" s="226" t="s">
        <v>271</v>
      </c>
      <c r="H7" s="146"/>
      <c r="I7" s="146"/>
      <c r="J7" s="146"/>
      <c r="K7" s="146"/>
      <c r="L7" s="146"/>
    </row>
    <row r="8" spans="2:12" ht="20.100000000000001" customHeight="1" thickBot="1" x14ac:dyDescent="0.2">
      <c r="B8" s="60"/>
      <c r="C8" s="181"/>
      <c r="D8" s="182"/>
      <c r="E8" s="183"/>
      <c r="F8" s="146"/>
      <c r="G8" s="151"/>
      <c r="H8" s="146"/>
      <c r="I8" s="146"/>
      <c r="J8" s="146"/>
      <c r="K8" s="146"/>
      <c r="L8" s="146"/>
    </row>
    <row r="9" spans="2:12" ht="20.100000000000001" customHeight="1" thickBot="1" x14ac:dyDescent="0.2">
      <c r="B9" s="60" t="s">
        <v>272</v>
      </c>
      <c r="C9" s="181" t="s">
        <v>302</v>
      </c>
      <c r="D9" s="182" t="s">
        <v>240</v>
      </c>
      <c r="E9" s="227"/>
      <c r="F9" s="146" t="s">
        <v>92</v>
      </c>
      <c r="G9" s="226" t="s">
        <v>273</v>
      </c>
      <c r="H9" s="146"/>
      <c r="I9" s="146"/>
      <c r="J9" s="146"/>
      <c r="K9" s="146"/>
      <c r="L9" s="146"/>
    </row>
    <row r="10" spans="2:12" ht="20.100000000000001" customHeight="1" x14ac:dyDescent="0.15">
      <c r="B10" s="60"/>
      <c r="C10" s="181"/>
      <c r="D10" s="182"/>
      <c r="E10" s="184"/>
      <c r="F10" s="146"/>
      <c r="G10" s="151"/>
      <c r="H10" s="146"/>
      <c r="I10" s="146"/>
      <c r="J10" s="146"/>
      <c r="K10" s="146"/>
      <c r="L10" s="146"/>
    </row>
    <row r="11" spans="2:12" ht="20.100000000000001" customHeight="1" x14ac:dyDescent="0.15">
      <c r="B11" s="146" t="s">
        <v>274</v>
      </c>
      <c r="C11" s="154" t="s">
        <v>303</v>
      </c>
      <c r="D11" s="147" t="s">
        <v>240</v>
      </c>
      <c r="E11" s="180" t="s">
        <v>299</v>
      </c>
      <c r="F11" s="146"/>
      <c r="G11" s="146"/>
      <c r="H11" s="146"/>
      <c r="I11" s="146"/>
      <c r="J11" s="146"/>
      <c r="K11" s="146"/>
      <c r="L11" s="146"/>
    </row>
    <row r="12" spans="2:12" ht="20.100000000000001" customHeight="1" x14ac:dyDescent="0.15">
      <c r="B12" s="146"/>
      <c r="C12" s="154"/>
      <c r="D12" s="147" t="s">
        <v>76</v>
      </c>
      <c r="E12" s="224">
        <f>ROUND(E15*E7^2+E18*E7+E21,3)</f>
        <v>-0.28299999999999997</v>
      </c>
      <c r="F12" s="146" t="s">
        <v>459</v>
      </c>
      <c r="G12" s="146"/>
      <c r="H12" s="146"/>
      <c r="I12" s="146"/>
      <c r="J12" s="146"/>
      <c r="K12" s="146"/>
      <c r="L12" s="146"/>
    </row>
    <row r="13" spans="2:12" ht="20.100000000000001" customHeight="1" x14ac:dyDescent="0.15">
      <c r="B13" s="146"/>
      <c r="C13" s="154"/>
      <c r="D13" s="147"/>
      <c r="E13" s="180"/>
      <c r="F13" s="146"/>
      <c r="G13" s="146"/>
      <c r="H13" s="146"/>
      <c r="I13" s="146"/>
      <c r="J13" s="146"/>
      <c r="K13" s="146"/>
      <c r="L13" s="146"/>
    </row>
    <row r="14" spans="2:12" ht="20.100000000000001" customHeight="1" x14ac:dyDescent="0.15">
      <c r="B14" s="146"/>
      <c r="C14" s="154" t="s">
        <v>304</v>
      </c>
      <c r="D14" s="147" t="s">
        <v>76</v>
      </c>
      <c r="E14" s="180" t="s">
        <v>300</v>
      </c>
      <c r="F14" s="146"/>
      <c r="G14" s="146"/>
      <c r="H14" s="146"/>
      <c r="I14" s="146"/>
      <c r="J14" s="146"/>
      <c r="K14" s="146"/>
      <c r="L14" s="146"/>
    </row>
    <row r="15" spans="2:12" ht="20.100000000000001" customHeight="1" x14ac:dyDescent="0.15">
      <c r="B15" s="146"/>
      <c r="C15" s="154"/>
      <c r="D15" s="147" t="s">
        <v>76</v>
      </c>
      <c r="E15" s="333">
        <f>ROUND(0.12*E9+0.985,3)</f>
        <v>0.98499999999999999</v>
      </c>
      <c r="F15" s="146"/>
      <c r="G15" s="146"/>
      <c r="H15" s="146"/>
      <c r="I15" s="146"/>
      <c r="J15" s="146"/>
      <c r="K15" s="146"/>
      <c r="L15" s="146"/>
    </row>
    <row r="16" spans="2:12" ht="20.100000000000001" customHeight="1" x14ac:dyDescent="0.15">
      <c r="B16" s="146"/>
      <c r="C16" s="154"/>
      <c r="D16" s="147"/>
      <c r="E16" s="185"/>
      <c r="F16" s="146"/>
      <c r="G16" s="146"/>
      <c r="H16" s="146"/>
      <c r="I16" s="146"/>
      <c r="J16" s="146"/>
      <c r="K16" s="146"/>
      <c r="L16" s="146"/>
    </row>
    <row r="17" spans="2:12" ht="20.100000000000001" customHeight="1" x14ac:dyDescent="0.15">
      <c r="B17" s="146"/>
      <c r="C17" s="154" t="s">
        <v>70</v>
      </c>
      <c r="D17" s="147" t="s">
        <v>76</v>
      </c>
      <c r="E17" s="180" t="s">
        <v>306</v>
      </c>
      <c r="F17" s="146"/>
      <c r="G17" s="146"/>
      <c r="H17" s="146"/>
      <c r="I17" s="146"/>
      <c r="J17" s="146"/>
      <c r="K17" s="146"/>
      <c r="L17" s="146"/>
    </row>
    <row r="18" spans="2:12" ht="20.100000000000001" customHeight="1" x14ac:dyDescent="0.15">
      <c r="D18" s="147" t="s">
        <v>76</v>
      </c>
      <c r="E18" s="333">
        <f>ROUND(7.837*E9+0.82,3)</f>
        <v>0.82</v>
      </c>
    </row>
    <row r="19" spans="2:12" ht="20.100000000000001" customHeight="1" x14ac:dyDescent="0.15">
      <c r="D19" s="147"/>
      <c r="E19" s="180"/>
    </row>
    <row r="20" spans="2:12" ht="20.100000000000001" customHeight="1" x14ac:dyDescent="0.15">
      <c r="C20" s="154" t="s">
        <v>305</v>
      </c>
      <c r="D20" s="147" t="s">
        <v>76</v>
      </c>
      <c r="E20" s="180" t="s">
        <v>307</v>
      </c>
    </row>
    <row r="21" spans="2:12" ht="20.100000000000001" customHeight="1" x14ac:dyDescent="0.15">
      <c r="D21" s="147" t="s">
        <v>76</v>
      </c>
      <c r="E21" s="333">
        <f>ROUND(2.858*E9-0.283,3)</f>
        <v>-0.28299999999999997</v>
      </c>
    </row>
    <row r="22" spans="2:12" ht="20.100000000000001" customHeight="1" x14ac:dyDescent="0.15"/>
    <row r="23" spans="2:12" ht="20.100000000000001" customHeight="1" x14ac:dyDescent="0.15">
      <c r="B23" s="146" t="s">
        <v>275</v>
      </c>
      <c r="C23" s="154" t="s">
        <v>308</v>
      </c>
      <c r="D23" s="147" t="s">
        <v>76</v>
      </c>
      <c r="E23" s="340">
        <v>5.0000000000000001E-3</v>
      </c>
      <c r="F23" s="146" t="s">
        <v>241</v>
      </c>
      <c r="G23" s="146" t="s">
        <v>474</v>
      </c>
      <c r="H23" s="146"/>
      <c r="I23" s="146"/>
      <c r="J23" s="146"/>
      <c r="K23" s="146"/>
      <c r="L23" s="146"/>
    </row>
    <row r="24" spans="2:12" ht="20.100000000000001" customHeight="1" x14ac:dyDescent="0.15">
      <c r="B24" s="146"/>
      <c r="C24" s="154"/>
      <c r="D24" s="147"/>
      <c r="E24" s="180"/>
      <c r="F24" s="146"/>
      <c r="G24" s="146"/>
      <c r="H24" s="146"/>
      <c r="I24" s="146"/>
      <c r="J24" s="146"/>
      <c r="K24" s="146"/>
      <c r="L24" s="146"/>
    </row>
    <row r="25" spans="2:12" ht="20.100000000000001" customHeight="1" x14ac:dyDescent="0.15">
      <c r="B25" s="146" t="s">
        <v>276</v>
      </c>
      <c r="C25" s="154" t="s">
        <v>310</v>
      </c>
      <c r="D25" s="147" t="s">
        <v>76</v>
      </c>
      <c r="E25" s="180" t="s">
        <v>458</v>
      </c>
      <c r="F25" s="146"/>
      <c r="G25" s="146"/>
      <c r="H25" s="146"/>
      <c r="I25" s="146"/>
      <c r="J25" s="146"/>
      <c r="K25" s="146"/>
      <c r="L25" s="146"/>
    </row>
    <row r="26" spans="2:12" ht="20.100000000000001" customHeight="1" x14ac:dyDescent="0.15">
      <c r="B26" s="146"/>
      <c r="C26" s="154"/>
      <c r="D26" s="147" t="s">
        <v>76</v>
      </c>
      <c r="E26" s="333">
        <f>ROUND(E23*E12*3600/100,3)</f>
        <v>-5.0999999999999997E-2</v>
      </c>
      <c r="F26" s="146" t="s">
        <v>365</v>
      </c>
      <c r="G26" s="146"/>
      <c r="H26" s="146"/>
      <c r="I26" s="146"/>
      <c r="J26" s="146"/>
      <c r="K26" s="146"/>
      <c r="L26" s="146"/>
    </row>
    <row r="27" spans="2:12" ht="20.100000000000001" customHeight="1" x14ac:dyDescent="0.15">
      <c r="B27" s="146"/>
      <c r="C27" s="154"/>
      <c r="D27" s="147"/>
      <c r="E27" s="180"/>
      <c r="F27" s="146"/>
      <c r="G27" s="146"/>
      <c r="H27" s="146"/>
      <c r="I27" s="146"/>
      <c r="J27" s="146"/>
      <c r="K27" s="146"/>
      <c r="L27" s="146"/>
    </row>
    <row r="28" spans="2:12" ht="20.100000000000001" customHeight="1" x14ac:dyDescent="0.15">
      <c r="B28" s="146" t="s">
        <v>277</v>
      </c>
      <c r="C28" s="154" t="s">
        <v>309</v>
      </c>
      <c r="D28" s="147" t="s">
        <v>76</v>
      </c>
      <c r="E28" s="180" t="s">
        <v>312</v>
      </c>
      <c r="F28" s="146"/>
      <c r="G28" s="146"/>
      <c r="H28" s="146"/>
      <c r="I28" s="146"/>
      <c r="J28" s="146"/>
      <c r="K28" s="146"/>
      <c r="L28" s="146"/>
    </row>
    <row r="29" spans="2:12" ht="20.100000000000001" customHeight="1" x14ac:dyDescent="0.15">
      <c r="B29" s="146"/>
      <c r="C29" s="154"/>
      <c r="D29" s="147" t="s">
        <v>76</v>
      </c>
      <c r="E29" s="180">
        <v>0.81</v>
      </c>
      <c r="F29" s="146"/>
      <c r="G29" s="146"/>
      <c r="H29" s="146"/>
      <c r="I29" s="146"/>
      <c r="J29" s="146"/>
      <c r="K29" s="146"/>
      <c r="L29" s="146"/>
    </row>
    <row r="30" spans="2:12" ht="20.100000000000001" customHeight="1" x14ac:dyDescent="0.15">
      <c r="B30" s="146"/>
      <c r="C30" s="154"/>
      <c r="D30" s="147"/>
      <c r="E30" s="180"/>
      <c r="F30" s="146"/>
      <c r="G30" s="146"/>
      <c r="H30" s="146"/>
      <c r="I30" s="146"/>
      <c r="J30" s="146"/>
      <c r="K30" s="146"/>
      <c r="L30" s="146"/>
    </row>
    <row r="31" spans="2:12" ht="20.100000000000001" customHeight="1" x14ac:dyDescent="0.15">
      <c r="B31" s="146" t="s">
        <v>278</v>
      </c>
      <c r="C31" s="154" t="s">
        <v>313</v>
      </c>
      <c r="D31" s="147" t="s">
        <v>76</v>
      </c>
      <c r="E31" s="180" t="s">
        <v>314</v>
      </c>
      <c r="F31" s="146"/>
      <c r="G31" s="146"/>
      <c r="H31" s="146"/>
      <c r="I31" s="146"/>
      <c r="J31" s="146"/>
      <c r="K31" s="146"/>
      <c r="L31" s="146"/>
    </row>
    <row r="32" spans="2:12" ht="20.100000000000001" customHeight="1" x14ac:dyDescent="0.15">
      <c r="B32" s="146"/>
      <c r="C32" s="154"/>
      <c r="D32" s="147" t="s">
        <v>76</v>
      </c>
      <c r="E32" s="333">
        <f>ROUND(E26*E29,3)</f>
        <v>-4.1000000000000002E-2</v>
      </c>
      <c r="F32" s="146" t="s">
        <v>365</v>
      </c>
      <c r="G32" s="146"/>
      <c r="H32" s="146"/>
      <c r="I32" s="146"/>
      <c r="J32" s="146"/>
      <c r="K32" s="146"/>
      <c r="L32" s="146"/>
    </row>
    <row r="33" spans="2:12" ht="20.100000000000001" customHeight="1" x14ac:dyDescent="0.15">
      <c r="B33" s="150" t="s">
        <v>279</v>
      </c>
      <c r="C33" s="154"/>
      <c r="D33" s="147"/>
      <c r="E33" s="180"/>
      <c r="F33" s="146"/>
      <c r="G33" s="146"/>
      <c r="H33" s="146"/>
      <c r="I33" s="32"/>
      <c r="J33" s="32"/>
      <c r="K33" s="146"/>
      <c r="L33" s="146"/>
    </row>
    <row r="34" spans="2:12" ht="20.100000000000001" customHeight="1" thickBot="1" x14ac:dyDescent="0.2">
      <c r="B34" s="150"/>
      <c r="C34" s="154"/>
      <c r="D34" s="147"/>
      <c r="E34" s="180"/>
      <c r="F34" s="146"/>
      <c r="G34" s="146"/>
      <c r="H34" s="146"/>
      <c r="I34" s="44"/>
      <c r="J34" s="44"/>
      <c r="K34" s="146"/>
      <c r="L34" s="146"/>
    </row>
    <row r="35" spans="2:12" ht="20.100000000000001" customHeight="1" thickBot="1" x14ac:dyDescent="0.2">
      <c r="B35" s="146" t="s">
        <v>289</v>
      </c>
      <c r="C35" s="154" t="s">
        <v>315</v>
      </c>
      <c r="D35" s="147" t="s">
        <v>76</v>
      </c>
      <c r="E35" s="228"/>
      <c r="F35" s="146" t="s">
        <v>92</v>
      </c>
      <c r="G35" s="151"/>
      <c r="H35" s="146"/>
      <c r="I35" s="45"/>
      <c r="J35" s="45"/>
      <c r="K35" s="146"/>
      <c r="L35" s="146"/>
    </row>
    <row r="36" spans="2:12" ht="20.100000000000001" customHeight="1" thickBot="1" x14ac:dyDescent="0.2">
      <c r="B36" s="146"/>
      <c r="C36" s="154"/>
      <c r="D36" s="147"/>
      <c r="E36" s="183"/>
      <c r="F36" s="146"/>
      <c r="G36" s="146"/>
      <c r="H36" s="146"/>
      <c r="I36" s="45"/>
      <c r="J36" s="45"/>
      <c r="K36" s="146"/>
      <c r="L36" s="146"/>
    </row>
    <row r="37" spans="2:12" ht="20.100000000000001" customHeight="1" thickBot="1" x14ac:dyDescent="0.2">
      <c r="B37" s="146" t="s">
        <v>281</v>
      </c>
      <c r="C37" s="154" t="s">
        <v>69</v>
      </c>
      <c r="D37" s="147" t="s">
        <v>76</v>
      </c>
      <c r="E37" s="167"/>
      <c r="F37" s="146" t="s">
        <v>92</v>
      </c>
      <c r="G37" s="146"/>
      <c r="H37" s="146"/>
      <c r="I37" s="37"/>
      <c r="J37" s="37"/>
      <c r="K37" s="146"/>
      <c r="L37" s="146"/>
    </row>
    <row r="38" spans="2:12" ht="20.100000000000001" customHeight="1" x14ac:dyDescent="0.15">
      <c r="B38" s="146"/>
      <c r="C38" s="154"/>
      <c r="D38" s="147"/>
      <c r="E38" s="184"/>
      <c r="F38" s="146"/>
      <c r="G38" s="146"/>
      <c r="H38" s="146"/>
      <c r="I38" s="37"/>
      <c r="J38" s="37"/>
      <c r="K38" s="146"/>
      <c r="L38" s="146"/>
    </row>
    <row r="39" spans="2:12" ht="20.100000000000001" customHeight="1" x14ac:dyDescent="0.15">
      <c r="B39" s="146" t="s">
        <v>282</v>
      </c>
      <c r="C39" s="154" t="s">
        <v>316</v>
      </c>
      <c r="D39" s="147" t="s">
        <v>76</v>
      </c>
      <c r="E39" s="180" t="s">
        <v>325</v>
      </c>
      <c r="F39" s="146"/>
      <c r="G39" s="146"/>
      <c r="H39" s="146"/>
      <c r="I39" s="37"/>
      <c r="J39" s="37"/>
      <c r="K39" s="146"/>
      <c r="L39" s="146"/>
    </row>
    <row r="40" spans="2:12" ht="20.100000000000001" customHeight="1" x14ac:dyDescent="0.15">
      <c r="B40" s="146"/>
      <c r="C40" s="154"/>
      <c r="D40" s="147" t="s">
        <v>76</v>
      </c>
      <c r="E40" s="333">
        <f>ROUND((E35/2)^2*3.14*E37,3)</f>
        <v>0</v>
      </c>
      <c r="F40" s="146" t="s">
        <v>369</v>
      </c>
      <c r="G40" s="146"/>
      <c r="H40" s="146"/>
      <c r="I40" s="37"/>
      <c r="J40" s="37"/>
      <c r="K40" s="146"/>
      <c r="L40" s="146"/>
    </row>
    <row r="41" spans="2:12" ht="20.100000000000001" customHeight="1" x14ac:dyDescent="0.15">
      <c r="B41" s="146"/>
      <c r="C41" s="154"/>
      <c r="D41" s="147"/>
      <c r="E41" s="180"/>
      <c r="F41" s="146"/>
      <c r="G41" s="146"/>
      <c r="H41" s="146"/>
      <c r="I41" s="37"/>
      <c r="J41" s="37"/>
      <c r="K41" s="146"/>
      <c r="L41" s="146"/>
    </row>
    <row r="42" spans="2:12" ht="20.100000000000001" customHeight="1" x14ac:dyDescent="0.15">
      <c r="B42" s="165" t="s">
        <v>283</v>
      </c>
      <c r="C42" s="154" t="s">
        <v>321</v>
      </c>
      <c r="D42" s="147" t="s">
        <v>240</v>
      </c>
      <c r="E42" s="333">
        <f>E40</f>
        <v>0</v>
      </c>
      <c r="F42" s="146" t="s">
        <v>369</v>
      </c>
      <c r="G42" s="146"/>
      <c r="H42" s="146"/>
      <c r="I42" s="37"/>
      <c r="J42" s="37"/>
      <c r="K42" s="146"/>
      <c r="L42" s="146"/>
    </row>
    <row r="43" spans="2:12" ht="20.100000000000001" customHeight="1" x14ac:dyDescent="0.15">
      <c r="B43" s="146"/>
      <c r="C43" s="154"/>
      <c r="D43" s="147"/>
      <c r="E43" s="180"/>
      <c r="F43" s="146"/>
      <c r="G43" s="146"/>
      <c r="H43" s="146"/>
      <c r="I43" s="37"/>
      <c r="J43" s="37"/>
      <c r="K43" s="146"/>
      <c r="L43" s="146"/>
    </row>
    <row r="44" spans="2:12" ht="20.100000000000001" customHeight="1" x14ac:dyDescent="0.15">
      <c r="B44" s="146" t="s">
        <v>284</v>
      </c>
      <c r="C44" s="154" t="s">
        <v>318</v>
      </c>
      <c r="D44" s="147" t="s">
        <v>76</v>
      </c>
      <c r="E44" s="180" t="s">
        <v>319</v>
      </c>
      <c r="F44" s="146"/>
      <c r="G44" s="146"/>
      <c r="H44" s="146"/>
      <c r="I44" s="146" t="s">
        <v>327</v>
      </c>
      <c r="J44" s="32"/>
      <c r="K44" s="186"/>
      <c r="L44" s="186"/>
    </row>
    <row r="45" spans="2:12" ht="20.100000000000001" customHeight="1" x14ac:dyDescent="0.15">
      <c r="B45" s="146"/>
      <c r="C45" s="154"/>
      <c r="D45" s="147" t="s">
        <v>76</v>
      </c>
      <c r="E45" s="333">
        <f>ROUND(E9*E9*E7-E40,3)</f>
        <v>0</v>
      </c>
      <c r="F45" s="146" t="s">
        <v>369</v>
      </c>
      <c r="G45" s="146"/>
      <c r="H45" s="146"/>
      <c r="I45" s="34" t="s">
        <v>245</v>
      </c>
      <c r="J45" s="34" t="s">
        <v>246</v>
      </c>
      <c r="K45" s="186"/>
      <c r="L45" s="186"/>
    </row>
    <row r="46" spans="2:12" ht="20.100000000000001" customHeight="1" thickBot="1" x14ac:dyDescent="0.2">
      <c r="B46" s="146"/>
      <c r="C46" s="154"/>
      <c r="D46" s="147"/>
      <c r="E46" s="180"/>
      <c r="F46" s="146"/>
      <c r="G46" s="146"/>
      <c r="H46" s="146"/>
      <c r="I46" s="35" t="s">
        <v>248</v>
      </c>
      <c r="J46" s="34">
        <v>0.4</v>
      </c>
      <c r="K46" s="186"/>
      <c r="L46" s="186"/>
    </row>
    <row r="47" spans="2:12" ht="20.100000000000001" customHeight="1" thickBot="1" x14ac:dyDescent="0.2">
      <c r="B47" s="146" t="s">
        <v>285</v>
      </c>
      <c r="C47" s="154"/>
      <c r="D47" s="147"/>
      <c r="E47" s="167"/>
      <c r="F47" s="146" t="s">
        <v>244</v>
      </c>
      <c r="G47" s="146"/>
      <c r="H47" s="146"/>
      <c r="I47" s="35" t="s">
        <v>249</v>
      </c>
      <c r="J47" s="34">
        <v>0.1</v>
      </c>
      <c r="K47" s="186"/>
      <c r="L47" s="186"/>
    </row>
    <row r="48" spans="2:12" ht="20.100000000000001" customHeight="1" x14ac:dyDescent="0.15">
      <c r="B48" s="146"/>
      <c r="C48" s="154"/>
      <c r="D48" s="147"/>
      <c r="E48" s="187"/>
      <c r="F48" s="146"/>
      <c r="G48" s="146"/>
      <c r="H48" s="146"/>
      <c r="I48" s="35" t="s">
        <v>250</v>
      </c>
      <c r="J48" s="34">
        <v>0.1</v>
      </c>
      <c r="K48" s="186"/>
      <c r="L48" s="186"/>
    </row>
    <row r="49" spans="2:12" ht="20.100000000000001" customHeight="1" x14ac:dyDescent="0.15">
      <c r="B49" s="146" t="s">
        <v>286</v>
      </c>
      <c r="C49" s="154" t="s">
        <v>322</v>
      </c>
      <c r="D49" s="147" t="s">
        <v>240</v>
      </c>
      <c r="E49" s="180" t="s">
        <v>320</v>
      </c>
      <c r="F49" s="146"/>
      <c r="G49" s="146"/>
      <c r="H49" s="146"/>
      <c r="I49" s="35" t="s">
        <v>252</v>
      </c>
      <c r="J49" s="34">
        <v>0.1</v>
      </c>
      <c r="K49" s="186"/>
      <c r="L49" s="186"/>
    </row>
    <row r="50" spans="2:12" ht="20.100000000000001" customHeight="1" x14ac:dyDescent="0.15">
      <c r="B50" s="146"/>
      <c r="C50" s="154"/>
      <c r="D50" s="147" t="s">
        <v>76</v>
      </c>
      <c r="E50" s="338">
        <f>ROUND(E45*E47,3)</f>
        <v>0</v>
      </c>
      <c r="F50" s="146" t="s">
        <v>369</v>
      </c>
      <c r="G50" s="146"/>
      <c r="H50" s="146"/>
      <c r="I50" s="35" t="s">
        <v>253</v>
      </c>
      <c r="J50" s="34">
        <v>0.1</v>
      </c>
      <c r="K50" s="186"/>
      <c r="L50" s="186"/>
    </row>
    <row r="51" spans="2:12" ht="20.100000000000001" customHeight="1" x14ac:dyDescent="0.15">
      <c r="B51" s="146"/>
      <c r="C51" s="154"/>
      <c r="D51" s="147"/>
      <c r="E51" s="180"/>
      <c r="F51" s="146"/>
      <c r="G51" s="146"/>
      <c r="H51" s="146"/>
      <c r="I51" s="35" t="s">
        <v>254</v>
      </c>
      <c r="J51" s="34">
        <v>0.2</v>
      </c>
      <c r="K51" s="186"/>
      <c r="L51" s="186"/>
    </row>
    <row r="52" spans="2:12" ht="20.100000000000001" customHeight="1" x14ac:dyDescent="0.15">
      <c r="B52" s="146" t="s">
        <v>287</v>
      </c>
      <c r="C52" s="154" t="s">
        <v>323</v>
      </c>
      <c r="D52" s="147" t="s">
        <v>240</v>
      </c>
      <c r="E52" s="339">
        <f>E42+E50</f>
        <v>0</v>
      </c>
      <c r="F52" s="146" t="s">
        <v>369</v>
      </c>
      <c r="G52" s="146"/>
      <c r="H52" s="146"/>
      <c r="I52" s="36" t="s">
        <v>256</v>
      </c>
      <c r="J52" s="164" t="s">
        <v>257</v>
      </c>
      <c r="K52" s="146"/>
      <c r="L52" s="146"/>
    </row>
    <row r="53" spans="2:12" ht="20.100000000000001" customHeight="1" thickBot="1" x14ac:dyDescent="0.2">
      <c r="B53" s="146"/>
      <c r="C53" s="154"/>
      <c r="D53" s="147"/>
      <c r="E53" s="180"/>
      <c r="F53" s="146"/>
      <c r="G53" s="146"/>
      <c r="H53" s="146"/>
      <c r="I53" s="146"/>
      <c r="J53" s="146"/>
      <c r="K53" s="146"/>
      <c r="L53" s="146"/>
    </row>
    <row r="54" spans="2:12" ht="20.100000000000001" customHeight="1" thickBot="1" x14ac:dyDescent="0.2">
      <c r="B54" s="146" t="s">
        <v>324</v>
      </c>
      <c r="C54" s="154"/>
      <c r="D54" s="147" t="s">
        <v>76</v>
      </c>
      <c r="E54" s="229"/>
      <c r="F54" s="146" t="s">
        <v>462</v>
      </c>
      <c r="G54" s="146"/>
      <c r="H54" s="146"/>
      <c r="I54" s="146"/>
      <c r="J54" s="146"/>
      <c r="K54" s="146"/>
      <c r="L54" s="146"/>
    </row>
    <row r="55" spans="2:12" ht="20.100000000000001" customHeight="1" x14ac:dyDescent="0.15"/>
    <row r="56" spans="2:12" s="146" customFormat="1" ht="20.100000000000001" customHeight="1" x14ac:dyDescent="0.15">
      <c r="B56" s="42" t="s">
        <v>364</v>
      </c>
      <c r="C56" s="59" t="s">
        <v>313</v>
      </c>
      <c r="D56" s="147" t="s">
        <v>76</v>
      </c>
      <c r="E56" s="180" t="s">
        <v>363</v>
      </c>
    </row>
    <row r="57" spans="2:12" s="146" customFormat="1" ht="20.100000000000001" customHeight="1" x14ac:dyDescent="0.15">
      <c r="C57" s="154"/>
      <c r="D57" s="147" t="s">
        <v>76</v>
      </c>
      <c r="E57" s="325">
        <f>ROUND(E54*E32,3)</f>
        <v>0</v>
      </c>
      <c r="F57" s="146" t="s">
        <v>365</v>
      </c>
    </row>
    <row r="58" spans="2:12" s="146" customFormat="1" ht="20.100000000000001" customHeight="1" x14ac:dyDescent="0.15">
      <c r="C58" s="154"/>
      <c r="D58" s="147"/>
      <c r="E58" s="188"/>
    </row>
    <row r="59" spans="2:12" s="146" customFormat="1" ht="20.100000000000001" customHeight="1" x14ac:dyDescent="0.15">
      <c r="B59" s="42" t="s">
        <v>366</v>
      </c>
      <c r="C59" s="59" t="s">
        <v>367</v>
      </c>
      <c r="D59" s="147" t="s">
        <v>76</v>
      </c>
      <c r="E59" s="180" t="s">
        <v>368</v>
      </c>
    </row>
    <row r="60" spans="2:12" s="146" customFormat="1" ht="20.100000000000001" customHeight="1" x14ac:dyDescent="0.15">
      <c r="C60" s="154"/>
      <c r="D60" s="147" t="s">
        <v>76</v>
      </c>
      <c r="E60" s="325">
        <f>ROUND(E54*E52,3)</f>
        <v>0</v>
      </c>
      <c r="F60" s="146" t="s">
        <v>369</v>
      </c>
    </row>
    <row r="61" spans="2:12" s="146" customFormat="1" ht="20.100000000000001" customHeight="1" x14ac:dyDescent="0.15">
      <c r="C61" s="154"/>
      <c r="D61" s="147"/>
      <c r="E61" s="180"/>
    </row>
    <row r="62" spans="2:12" s="146" customFormat="1" ht="20.100000000000001" customHeight="1" x14ac:dyDescent="0.15">
      <c r="C62" s="154"/>
      <c r="D62" s="147"/>
      <c r="E62" s="180"/>
    </row>
    <row r="63" spans="2:12" s="146" customFormat="1" ht="20.100000000000001" customHeight="1" x14ac:dyDescent="0.15">
      <c r="B63" s="150" t="s">
        <v>408</v>
      </c>
      <c r="C63" s="154"/>
      <c r="D63" s="147"/>
      <c r="E63" s="180"/>
    </row>
    <row r="64" spans="2:12" s="146" customFormat="1" ht="20.100000000000001" customHeight="1" x14ac:dyDescent="0.15">
      <c r="C64" s="154"/>
      <c r="D64" s="147"/>
      <c r="E64" s="180"/>
    </row>
    <row r="65" spans="3:5" s="146" customFormat="1" ht="20.100000000000001" customHeight="1" x14ac:dyDescent="0.15">
      <c r="C65" s="154"/>
      <c r="D65" s="147"/>
      <c r="E65" s="180"/>
    </row>
    <row r="66" spans="3:5" s="146" customFormat="1" ht="20.100000000000001" customHeight="1" x14ac:dyDescent="0.15">
      <c r="C66" s="154"/>
      <c r="D66" s="147"/>
      <c r="E66" s="180"/>
    </row>
    <row r="67" spans="3:5" s="146" customFormat="1" ht="20.100000000000001" customHeight="1" x14ac:dyDescent="0.15">
      <c r="C67" s="154"/>
      <c r="D67" s="147"/>
      <c r="E67" s="180"/>
    </row>
    <row r="68" spans="3:5" s="146" customFormat="1" ht="20.100000000000001" customHeight="1" x14ac:dyDescent="0.15">
      <c r="C68" s="154"/>
      <c r="D68" s="147"/>
      <c r="E68" s="180"/>
    </row>
    <row r="69" spans="3:5" s="146" customFormat="1" ht="20.100000000000001" customHeight="1" x14ac:dyDescent="0.15">
      <c r="C69" s="154"/>
      <c r="D69" s="147"/>
      <c r="E69" s="180"/>
    </row>
    <row r="70" spans="3:5" ht="20.100000000000001" customHeight="1" x14ac:dyDescent="0.15"/>
    <row r="71" spans="3:5" ht="20.100000000000001" customHeight="1" x14ac:dyDescent="0.15"/>
    <row r="72" spans="3:5" ht="20.100000000000001" customHeight="1" x14ac:dyDescent="0.15"/>
    <row r="73" spans="3:5" ht="20.100000000000001" customHeight="1" x14ac:dyDescent="0.15"/>
    <row r="74" spans="3:5" ht="20.100000000000001" customHeight="1" x14ac:dyDescent="0.15"/>
    <row r="75" spans="3:5" ht="20.100000000000001" customHeight="1" x14ac:dyDescent="0.15"/>
    <row r="76" spans="3:5" ht="20.100000000000001" customHeight="1" x14ac:dyDescent="0.15"/>
    <row r="77" spans="3:5" ht="20.100000000000001" customHeight="1" x14ac:dyDescent="0.15"/>
    <row r="78" spans="3:5" ht="20.100000000000001" customHeight="1" x14ac:dyDescent="0.15"/>
    <row r="79" spans="3:5" ht="20.100000000000001" customHeight="1" x14ac:dyDescent="0.15"/>
    <row r="80" spans="3:5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</sheetData>
  <phoneticPr fontId="2"/>
  <printOptions horizontalCentered="1"/>
  <pageMargins left="0.59055118110236227" right="0.39370078740157483" top="0.59055118110236227" bottom="0.39370078740157483" header="0.19685039370078741" footer="0.19685039370078741"/>
  <pageSetup paperSize="9" scale="65" fitToWidth="0" orientation="portrait" r:id="rId1"/>
  <rowBreaks count="1" manualBreakCount="1">
    <brk id="6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55DC0-7641-4670-8C6B-23A66158AEF7}">
  <sheetPr>
    <tabColor indexed="45"/>
  </sheetPr>
  <dimension ref="A1:W49"/>
  <sheetViews>
    <sheetView view="pageBreakPreview" zoomScale="90" zoomScaleNormal="100" zoomScaleSheetLayoutView="90" workbookViewId="0">
      <selection activeCell="P25" sqref="P25"/>
    </sheetView>
  </sheetViews>
  <sheetFormatPr defaultColWidth="8.75" defaultRowHeight="13.5" x14ac:dyDescent="0.15"/>
  <cols>
    <col min="1" max="23" width="5.625" style="30" customWidth="1"/>
    <col min="24" max="16384" width="8.75" style="30"/>
  </cols>
  <sheetData>
    <row r="1" spans="1:23" ht="18.75" x14ac:dyDescent="0.15">
      <c r="A1" s="326" t="s">
        <v>448</v>
      </c>
    </row>
    <row r="2" spans="1:23" ht="14.25" thickBot="1" x14ac:dyDescent="0.2"/>
    <row r="3" spans="1:23" x14ac:dyDescent="0.15">
      <c r="A3" s="28"/>
      <c r="I3" s="74"/>
      <c r="J3" s="460" t="s">
        <v>97</v>
      </c>
      <c r="K3" s="460"/>
      <c r="L3" s="460"/>
      <c r="M3" s="460"/>
      <c r="N3" s="460"/>
      <c r="O3" s="460"/>
      <c r="P3" s="461"/>
      <c r="Q3" s="464" t="s">
        <v>96</v>
      </c>
      <c r="R3" s="460"/>
      <c r="S3" s="460"/>
      <c r="T3" s="460"/>
      <c r="U3" s="460"/>
      <c r="V3" s="461"/>
    </row>
    <row r="4" spans="1:23" x14ac:dyDescent="0.15">
      <c r="A4" s="28"/>
      <c r="B4" s="442" t="s">
        <v>40</v>
      </c>
      <c r="C4" s="442"/>
      <c r="D4" s="442"/>
      <c r="E4" s="442"/>
      <c r="F4" s="442"/>
      <c r="G4" s="442"/>
      <c r="H4" s="43"/>
      <c r="I4" s="75"/>
      <c r="J4" s="462"/>
      <c r="K4" s="462"/>
      <c r="L4" s="462"/>
      <c r="M4" s="462"/>
      <c r="N4" s="462"/>
      <c r="O4" s="462"/>
      <c r="P4" s="463"/>
      <c r="Q4" s="465"/>
      <c r="R4" s="462"/>
      <c r="S4" s="462"/>
      <c r="T4" s="462"/>
      <c r="U4" s="462"/>
      <c r="V4" s="463"/>
    </row>
    <row r="5" spans="1:23" x14ac:dyDescent="0.15">
      <c r="A5" s="76"/>
      <c r="B5" s="442" t="s">
        <v>39</v>
      </c>
      <c r="C5" s="442"/>
      <c r="D5" s="442"/>
      <c r="E5" s="442"/>
      <c r="F5" s="442"/>
      <c r="G5" s="442"/>
      <c r="H5" s="43"/>
      <c r="I5" s="77"/>
      <c r="J5" s="28"/>
      <c r="K5" s="78"/>
      <c r="L5" s="79"/>
      <c r="M5" s="40"/>
      <c r="N5" s="80"/>
      <c r="O5" s="81"/>
      <c r="P5" s="82"/>
      <c r="Q5" s="75"/>
      <c r="R5" s="28"/>
      <c r="S5" s="40"/>
      <c r="T5" s="40"/>
      <c r="U5" s="40"/>
      <c r="V5" s="82"/>
    </row>
    <row r="6" spans="1:23" x14ac:dyDescent="0.15">
      <c r="A6" s="76"/>
      <c r="B6" s="442" t="s">
        <v>42</v>
      </c>
      <c r="C6" s="442"/>
      <c r="D6" s="442"/>
      <c r="E6" s="442"/>
      <c r="F6" s="442"/>
      <c r="G6" s="442"/>
      <c r="H6" s="43"/>
      <c r="I6" s="77"/>
      <c r="J6" s="28"/>
      <c r="K6" s="78"/>
      <c r="L6" s="79"/>
      <c r="M6" s="40"/>
      <c r="N6" s="471"/>
      <c r="O6" s="83"/>
      <c r="P6" s="82"/>
      <c r="Q6" s="75"/>
      <c r="R6" s="28"/>
      <c r="S6" s="40"/>
      <c r="T6" s="40"/>
      <c r="U6" s="40"/>
      <c r="V6" s="82"/>
    </row>
    <row r="7" spans="1:23" x14ac:dyDescent="0.15">
      <c r="A7" s="76"/>
      <c r="B7" s="442" t="s">
        <v>41</v>
      </c>
      <c r="C7" s="442"/>
      <c r="D7" s="442"/>
      <c r="E7" s="442"/>
      <c r="F7" s="442"/>
      <c r="G7" s="442"/>
      <c r="H7" s="43"/>
      <c r="I7" s="77"/>
      <c r="J7" s="28"/>
      <c r="K7" s="450"/>
      <c r="L7" s="451"/>
      <c r="M7" s="40"/>
      <c r="N7" s="471"/>
      <c r="O7" s="1" t="s">
        <v>69</v>
      </c>
      <c r="P7" s="82"/>
      <c r="Q7" s="75"/>
      <c r="R7" s="28"/>
      <c r="S7" s="28"/>
      <c r="T7" s="40"/>
      <c r="U7" s="40"/>
      <c r="V7" s="82"/>
      <c r="W7" s="40"/>
    </row>
    <row r="8" spans="1:23" x14ac:dyDescent="0.15">
      <c r="A8" s="76"/>
      <c r="B8" s="443" t="s">
        <v>43</v>
      </c>
      <c r="C8" s="331">
        <v>1</v>
      </c>
      <c r="D8" s="443" t="s">
        <v>472</v>
      </c>
      <c r="E8" s="443" t="s">
        <v>466</v>
      </c>
      <c r="F8" s="443" t="s">
        <v>472</v>
      </c>
      <c r="G8" s="453" t="s">
        <v>394</v>
      </c>
      <c r="H8" s="330"/>
      <c r="I8" s="77"/>
      <c r="J8" s="28"/>
      <c r="K8" s="452"/>
      <c r="L8" s="451"/>
      <c r="M8" s="40"/>
      <c r="N8" s="471"/>
      <c r="O8" s="172" t="s">
        <v>410</v>
      </c>
      <c r="P8" s="82"/>
      <c r="Q8" s="75"/>
      <c r="R8" s="28"/>
      <c r="S8" s="28"/>
      <c r="T8" s="40"/>
      <c r="U8" s="40"/>
      <c r="V8" s="82"/>
      <c r="W8" s="40"/>
    </row>
    <row r="9" spans="1:23" ht="14.25" thickBot="1" x14ac:dyDescent="0.2">
      <c r="A9" s="76"/>
      <c r="B9" s="443"/>
      <c r="C9" s="29" t="s">
        <v>465</v>
      </c>
      <c r="D9" s="443"/>
      <c r="E9" s="443"/>
      <c r="F9" s="443"/>
      <c r="G9" s="453"/>
      <c r="H9" s="330"/>
      <c r="I9" s="77"/>
      <c r="J9" s="28"/>
      <c r="K9" s="84"/>
      <c r="L9" s="85"/>
      <c r="M9" s="40"/>
      <c r="N9" s="86"/>
      <c r="O9" s="87"/>
      <c r="P9" s="82"/>
      <c r="Q9" s="75"/>
      <c r="R9" s="28"/>
      <c r="S9" s="28"/>
      <c r="T9" s="24"/>
      <c r="U9" s="24"/>
      <c r="V9" s="82"/>
      <c r="W9" s="40"/>
    </row>
    <row r="10" spans="1:23" x14ac:dyDescent="0.15">
      <c r="A10" s="76"/>
      <c r="B10" s="442" t="s">
        <v>44</v>
      </c>
      <c r="C10" s="442"/>
      <c r="D10" s="442"/>
      <c r="E10" s="442"/>
      <c r="F10" s="442"/>
      <c r="G10" s="442"/>
      <c r="H10" s="43"/>
      <c r="I10" s="77"/>
      <c r="J10" s="28"/>
      <c r="K10" s="40"/>
      <c r="L10" s="40"/>
      <c r="M10" s="40"/>
      <c r="N10" s="40"/>
      <c r="O10" s="40"/>
      <c r="P10" s="82"/>
      <c r="Q10" s="75"/>
      <c r="R10" s="28"/>
      <c r="S10" s="28"/>
      <c r="T10" s="40"/>
      <c r="U10" s="40"/>
      <c r="V10" s="82"/>
    </row>
    <row r="11" spans="1:23" x14ac:dyDescent="0.15">
      <c r="A11" s="76"/>
      <c r="B11" s="442" t="s">
        <v>45</v>
      </c>
      <c r="C11" s="442"/>
      <c r="D11" s="442"/>
      <c r="E11" s="442"/>
      <c r="F11" s="442"/>
      <c r="G11" s="442"/>
      <c r="H11" s="43"/>
      <c r="I11" s="77"/>
      <c r="J11" s="28"/>
      <c r="K11" s="437" t="s">
        <v>70</v>
      </c>
      <c r="L11" s="358"/>
      <c r="M11" s="40"/>
      <c r="N11" s="40"/>
      <c r="O11" s="40"/>
      <c r="P11" s="82"/>
      <c r="Q11" s="75"/>
      <c r="R11" s="437" t="s">
        <v>81</v>
      </c>
      <c r="S11" s="358"/>
      <c r="T11" s="40"/>
      <c r="U11" s="40"/>
      <c r="V11" s="82"/>
    </row>
    <row r="12" spans="1:23" x14ac:dyDescent="0.15">
      <c r="A12" s="76"/>
      <c r="B12" s="442" t="s">
        <v>216</v>
      </c>
      <c r="C12" s="442"/>
      <c r="D12" s="442"/>
      <c r="E12" s="442"/>
      <c r="F12" s="442"/>
      <c r="G12" s="442"/>
      <c r="H12" s="43"/>
      <c r="I12" s="77"/>
      <c r="J12" s="28"/>
      <c r="K12" s="40"/>
      <c r="L12" s="40"/>
      <c r="M12" s="40"/>
      <c r="N12" s="40"/>
      <c r="O12" s="40"/>
      <c r="P12" s="82"/>
      <c r="Q12" s="75"/>
      <c r="R12" s="40"/>
      <c r="S12" s="28"/>
      <c r="T12" s="40"/>
      <c r="U12" s="40"/>
      <c r="V12" s="82"/>
    </row>
    <row r="13" spans="1:23" x14ac:dyDescent="0.15">
      <c r="A13" s="76"/>
      <c r="B13" s="442" t="s">
        <v>217</v>
      </c>
      <c r="C13" s="442"/>
      <c r="D13" s="442"/>
      <c r="E13" s="442"/>
      <c r="F13" s="442"/>
      <c r="G13" s="442"/>
      <c r="H13" s="43"/>
      <c r="I13" s="457" t="s">
        <v>47</v>
      </c>
      <c r="J13" s="453"/>
      <c r="K13" s="453"/>
      <c r="L13" s="40"/>
      <c r="M13" s="40"/>
      <c r="N13" s="40"/>
      <c r="O13" s="40"/>
      <c r="P13" s="82"/>
      <c r="Q13" s="457" t="s">
        <v>47</v>
      </c>
      <c r="R13" s="453"/>
      <c r="S13" s="453"/>
      <c r="T13" s="40"/>
      <c r="U13" s="40"/>
      <c r="V13" s="82"/>
    </row>
    <row r="14" spans="1:23" x14ac:dyDescent="0.15">
      <c r="A14" s="76"/>
      <c r="B14" s="442" t="s">
        <v>46</v>
      </c>
      <c r="C14" s="442"/>
      <c r="D14" s="442"/>
      <c r="E14" s="442"/>
      <c r="F14" s="442"/>
      <c r="G14" s="442"/>
      <c r="H14" s="43"/>
      <c r="I14" s="75" t="s">
        <v>467</v>
      </c>
      <c r="J14" s="28"/>
      <c r="K14" s="40"/>
      <c r="L14" s="40"/>
      <c r="M14" s="444" t="str">
        <f>IF(データ入力!$E$42=1,データ入力!D43,"－")</f>
        <v>－</v>
      </c>
      <c r="N14" s="445"/>
      <c r="O14" s="40" t="s">
        <v>92</v>
      </c>
      <c r="P14" s="82"/>
      <c r="Q14" s="75" t="s">
        <v>471</v>
      </c>
      <c r="R14" s="40"/>
      <c r="S14" s="28"/>
      <c r="T14" s="444" t="str">
        <f>IF(データ入力!$E$42=2,データ入力!D45,"－")</f>
        <v>－</v>
      </c>
      <c r="U14" s="445"/>
      <c r="V14" s="82" t="s">
        <v>92</v>
      </c>
    </row>
    <row r="15" spans="1:23" ht="14.25" thickBot="1" x14ac:dyDescent="0.2">
      <c r="A15" s="76"/>
      <c r="B15" s="442"/>
      <c r="C15" s="442"/>
      <c r="D15" s="442"/>
      <c r="E15" s="442"/>
      <c r="F15" s="442"/>
      <c r="G15" s="442"/>
      <c r="H15" s="43"/>
      <c r="I15" s="88" t="s">
        <v>468</v>
      </c>
      <c r="J15" s="89"/>
      <c r="K15" s="90"/>
      <c r="L15" s="90"/>
      <c r="M15" s="446" t="str">
        <f>IF(データ入力!$E$42=1,データ入力!D44,"－")</f>
        <v>－</v>
      </c>
      <c r="N15" s="447"/>
      <c r="O15" s="90" t="s">
        <v>92</v>
      </c>
      <c r="P15" s="91"/>
      <c r="Q15" s="88"/>
      <c r="R15" s="89"/>
      <c r="S15" s="89"/>
      <c r="T15" s="90"/>
      <c r="U15" s="90"/>
      <c r="V15" s="91"/>
    </row>
    <row r="16" spans="1:23" x14ac:dyDescent="0.15">
      <c r="A16" s="76"/>
      <c r="B16" s="442"/>
      <c r="C16" s="442"/>
      <c r="D16" s="442"/>
      <c r="E16" s="442"/>
      <c r="F16" s="442"/>
      <c r="G16" s="442"/>
      <c r="H16" s="43"/>
      <c r="I16" s="74" t="s">
        <v>469</v>
      </c>
      <c r="J16" s="92"/>
      <c r="K16" s="93"/>
      <c r="L16" s="93"/>
      <c r="M16" s="466">
        <f>ROUND(データ入力!D46,3)</f>
        <v>0</v>
      </c>
      <c r="N16" s="467"/>
      <c r="O16" s="93"/>
      <c r="P16" s="93"/>
      <c r="Q16" s="93"/>
      <c r="R16" s="93"/>
      <c r="S16" s="92"/>
      <c r="T16" s="92"/>
      <c r="U16" s="92"/>
      <c r="V16" s="94"/>
    </row>
    <row r="17" spans="1:22" ht="13.5" customHeight="1" x14ac:dyDescent="0.15">
      <c r="A17" s="76"/>
      <c r="B17" s="442"/>
      <c r="C17" s="442"/>
      <c r="D17" s="442"/>
      <c r="E17" s="442"/>
      <c r="F17" s="442"/>
      <c r="G17" s="442"/>
      <c r="H17" s="43"/>
      <c r="I17" s="454" t="s">
        <v>215</v>
      </c>
      <c r="J17" s="95" t="s">
        <v>214</v>
      </c>
      <c r="K17" s="95"/>
      <c r="L17" s="95"/>
      <c r="M17" s="44"/>
      <c r="N17" s="44"/>
      <c r="O17" s="95"/>
      <c r="P17" s="96">
        <v>1.2999999999999999E-2</v>
      </c>
      <c r="Q17" s="40"/>
      <c r="R17" s="40"/>
      <c r="S17" s="28"/>
      <c r="T17" s="40"/>
      <c r="U17" s="40"/>
      <c r="V17" s="97"/>
    </row>
    <row r="18" spans="1:22" x14ac:dyDescent="0.15">
      <c r="A18" s="76"/>
      <c r="B18" s="442"/>
      <c r="C18" s="442"/>
      <c r="D18" s="442"/>
      <c r="E18" s="442"/>
      <c r="F18" s="442"/>
      <c r="G18" s="442"/>
      <c r="H18" s="43"/>
      <c r="I18" s="455"/>
      <c r="J18" s="98" t="s">
        <v>49</v>
      </c>
      <c r="K18" s="98"/>
      <c r="L18" s="98"/>
      <c r="M18" s="98"/>
      <c r="N18" s="98"/>
      <c r="O18" s="98"/>
      <c r="P18" s="99">
        <v>1.4999999999999999E-2</v>
      </c>
      <c r="Q18" s="40"/>
      <c r="R18" s="28"/>
      <c r="S18" s="28"/>
      <c r="T18" s="40"/>
      <c r="U18" s="40"/>
      <c r="V18" s="97"/>
    </row>
    <row r="19" spans="1:22" x14ac:dyDescent="0.15">
      <c r="A19" s="76"/>
      <c r="B19" s="442"/>
      <c r="C19" s="442"/>
      <c r="D19" s="442"/>
      <c r="E19" s="442"/>
      <c r="F19" s="442"/>
      <c r="G19" s="442"/>
      <c r="H19" s="43"/>
      <c r="I19" s="456"/>
      <c r="J19" s="100" t="s">
        <v>50</v>
      </c>
      <c r="K19" s="100"/>
      <c r="L19" s="100"/>
      <c r="M19" s="44"/>
      <c r="N19" s="44"/>
      <c r="O19" s="100"/>
      <c r="P19" s="101"/>
      <c r="Q19" s="40"/>
      <c r="R19" s="28"/>
      <c r="S19" s="28"/>
      <c r="T19" s="40"/>
      <c r="U19" s="40"/>
      <c r="V19" s="82"/>
    </row>
    <row r="20" spans="1:22" x14ac:dyDescent="0.15">
      <c r="A20" s="76"/>
      <c r="B20" s="442"/>
      <c r="C20" s="442"/>
      <c r="D20" s="442"/>
      <c r="E20" s="442"/>
      <c r="F20" s="442"/>
      <c r="G20" s="442"/>
      <c r="H20" s="43"/>
      <c r="I20" s="75" t="s">
        <v>470</v>
      </c>
      <c r="J20" s="40"/>
      <c r="K20" s="40"/>
      <c r="L20" s="40"/>
      <c r="M20" s="468">
        <f>ROUND(データ入力!D48,2)</f>
        <v>0</v>
      </c>
      <c r="N20" s="469"/>
      <c r="O20" s="40"/>
      <c r="P20" s="40"/>
      <c r="Q20" s="40"/>
      <c r="R20" s="40"/>
      <c r="S20" s="40"/>
      <c r="T20" s="40"/>
      <c r="U20" s="40"/>
      <c r="V20" s="82"/>
    </row>
    <row r="21" spans="1:22" ht="14.25" thickBot="1" x14ac:dyDescent="0.2">
      <c r="A21" s="76"/>
      <c r="B21" s="442" t="s">
        <v>52</v>
      </c>
      <c r="C21" s="442"/>
      <c r="D21" s="442"/>
      <c r="E21" s="442"/>
      <c r="F21" s="442"/>
      <c r="G21" s="442"/>
      <c r="H21" s="43"/>
      <c r="I21" s="102"/>
      <c r="J21" s="89"/>
      <c r="K21" s="90"/>
      <c r="L21" s="90"/>
      <c r="M21" s="90"/>
      <c r="N21" s="90"/>
      <c r="O21" s="470" t="s">
        <v>68</v>
      </c>
      <c r="P21" s="470"/>
      <c r="Q21" s="90"/>
      <c r="R21" s="89"/>
      <c r="S21" s="89"/>
      <c r="T21" s="90"/>
      <c r="U21" s="90"/>
      <c r="V21" s="91"/>
    </row>
    <row r="22" spans="1:22" x14ac:dyDescent="0.15">
      <c r="A22" s="76"/>
      <c r="B22" s="29"/>
      <c r="C22" s="29"/>
      <c r="D22" s="29"/>
    </row>
    <row r="23" spans="1:22" x14ac:dyDescent="0.15">
      <c r="A23" s="41"/>
      <c r="B23" s="417" t="s">
        <v>51</v>
      </c>
      <c r="C23" s="417"/>
      <c r="D23" s="407"/>
      <c r="E23" s="408"/>
      <c r="F23" s="403" t="s">
        <v>71</v>
      </c>
      <c r="G23" s="404"/>
      <c r="H23" s="403" t="s">
        <v>69</v>
      </c>
      <c r="I23" s="404"/>
      <c r="J23" s="407"/>
      <c r="K23" s="408"/>
      <c r="L23" s="403" t="s">
        <v>60</v>
      </c>
      <c r="M23" s="404"/>
    </row>
    <row r="24" spans="1:22" x14ac:dyDescent="0.15">
      <c r="B24" s="417"/>
      <c r="C24" s="417"/>
      <c r="D24" s="411" t="s">
        <v>93</v>
      </c>
      <c r="E24" s="411"/>
      <c r="F24" s="448" t="str">
        <f>IF(M14="－","－",ROUND(M14,2))</f>
        <v>－</v>
      </c>
      <c r="G24" s="449"/>
      <c r="H24" s="448" t="str">
        <f>IF(M15="－","－",ROUND(M15,2))</f>
        <v>－</v>
      </c>
      <c r="I24" s="449"/>
      <c r="J24" s="407"/>
      <c r="K24" s="408"/>
      <c r="L24" s="476" t="str">
        <f>IF(F24="－","－",ROUND((F24*H24),2))</f>
        <v>－</v>
      </c>
      <c r="M24" s="477"/>
    </row>
    <row r="25" spans="1:22" x14ac:dyDescent="0.15">
      <c r="B25" s="417"/>
      <c r="C25" s="417"/>
      <c r="D25" s="412" t="s">
        <v>94</v>
      </c>
      <c r="E25" s="412"/>
      <c r="F25" s="405" t="str">
        <f>IF(T14="－","－",ROUND(T14,2))</f>
        <v>－</v>
      </c>
      <c r="G25" s="406"/>
      <c r="H25" s="407"/>
      <c r="I25" s="408"/>
      <c r="J25" s="407"/>
      <c r="K25" s="408"/>
      <c r="L25" s="430" t="str">
        <f>IF(F25="－","－",ROUND((3.14*(F25/2)^2),2))</f>
        <v>－</v>
      </c>
      <c r="M25" s="431"/>
    </row>
    <row r="26" spans="1:22" x14ac:dyDescent="0.15">
      <c r="B26" s="417" t="s">
        <v>54</v>
      </c>
      <c r="C26" s="417"/>
      <c r="D26" s="407"/>
      <c r="E26" s="408"/>
      <c r="F26" s="403" t="s">
        <v>70</v>
      </c>
      <c r="G26" s="404"/>
      <c r="H26" s="403" t="s">
        <v>72</v>
      </c>
      <c r="I26" s="404"/>
      <c r="J26" s="417" t="s">
        <v>73</v>
      </c>
      <c r="K26" s="417"/>
      <c r="L26" s="403" t="s">
        <v>55</v>
      </c>
      <c r="M26" s="404"/>
    </row>
    <row r="27" spans="1:22" x14ac:dyDescent="0.15">
      <c r="B27" s="417"/>
      <c r="C27" s="417"/>
      <c r="D27" s="411" t="s">
        <v>93</v>
      </c>
      <c r="E27" s="411"/>
      <c r="F27" s="413" t="str">
        <f>F24</f>
        <v>－</v>
      </c>
      <c r="G27" s="414"/>
      <c r="H27" s="413" t="str">
        <f>H24</f>
        <v>－</v>
      </c>
      <c r="I27" s="414"/>
      <c r="J27" s="434" t="str">
        <f>IF(H27="－","－",2*H27)</f>
        <v>－</v>
      </c>
      <c r="K27" s="435"/>
      <c r="L27" s="428" t="str">
        <f>IF(F27="－","－",F27+J27)</f>
        <v>－</v>
      </c>
      <c r="M27" s="429"/>
    </row>
    <row r="28" spans="1:22" x14ac:dyDescent="0.15">
      <c r="B28" s="417"/>
      <c r="C28" s="417"/>
      <c r="D28" s="412" t="s">
        <v>94</v>
      </c>
      <c r="E28" s="412"/>
      <c r="F28" s="405" t="str">
        <f>F25</f>
        <v>－</v>
      </c>
      <c r="G28" s="406"/>
      <c r="H28" s="415"/>
      <c r="I28" s="416"/>
      <c r="J28" s="407"/>
      <c r="K28" s="408"/>
      <c r="L28" s="430" t="str">
        <f>IF(F28="－","－",ROUND((3.14*F28),2))</f>
        <v>－</v>
      </c>
      <c r="M28" s="431"/>
    </row>
    <row r="29" spans="1:22" x14ac:dyDescent="0.15">
      <c r="B29" s="417" t="s">
        <v>56</v>
      </c>
      <c r="C29" s="417"/>
      <c r="D29" s="407"/>
      <c r="E29" s="408"/>
      <c r="F29" s="403" t="s">
        <v>53</v>
      </c>
      <c r="G29" s="404"/>
      <c r="H29" s="403" t="s">
        <v>55</v>
      </c>
      <c r="I29" s="404"/>
      <c r="J29" s="407"/>
      <c r="K29" s="408"/>
      <c r="L29" s="403" t="s">
        <v>58</v>
      </c>
      <c r="M29" s="404"/>
    </row>
    <row r="30" spans="1:22" x14ac:dyDescent="0.15">
      <c r="B30" s="417"/>
      <c r="C30" s="417"/>
      <c r="D30" s="407"/>
      <c r="E30" s="408"/>
      <c r="F30" s="409" t="str">
        <f>IF(データ入力!$E$42=1,通水量!L24,通水量!L25)</f>
        <v>－</v>
      </c>
      <c r="G30" s="410"/>
      <c r="H30" s="409" t="str">
        <f>IF(データ入力!$E$42=1,通水量!L27,通水量!L28)</f>
        <v>－</v>
      </c>
      <c r="I30" s="410"/>
      <c r="J30" s="407"/>
      <c r="K30" s="408"/>
      <c r="L30" s="432" t="e">
        <f>ROUND(F30/H30,2)</f>
        <v>#VALUE!</v>
      </c>
      <c r="M30" s="433"/>
    </row>
    <row r="32" spans="1:22" ht="20.25" customHeight="1" x14ac:dyDescent="0.15">
      <c r="B32" s="436" t="s">
        <v>57</v>
      </c>
      <c r="C32" s="396"/>
      <c r="D32" s="438" t="s">
        <v>396</v>
      </c>
      <c r="E32" s="438"/>
      <c r="F32" s="438" t="s">
        <v>395</v>
      </c>
      <c r="G32" s="438"/>
      <c r="H32" s="418" t="s">
        <v>394</v>
      </c>
      <c r="I32" s="425"/>
      <c r="J32" s="418" t="s">
        <v>59</v>
      </c>
      <c r="K32" s="425"/>
      <c r="M32" s="40" t="s">
        <v>64</v>
      </c>
    </row>
    <row r="33" spans="2:19" ht="20.25" customHeight="1" x14ac:dyDescent="0.15">
      <c r="B33" s="437"/>
      <c r="C33" s="358"/>
      <c r="D33" s="440" t="e">
        <f>ROUND(1/M16,3)</f>
        <v>#DIV/0!</v>
      </c>
      <c r="E33" s="440"/>
      <c r="F33" s="439" t="e">
        <f>ROUND(L30^(2/3),5)</f>
        <v>#VALUE!</v>
      </c>
      <c r="G33" s="439"/>
      <c r="H33" s="426">
        <f>ROUND((M20/100)^(1/2),5)</f>
        <v>0</v>
      </c>
      <c r="I33" s="427"/>
      <c r="J33" s="426" t="e">
        <f>ROUND(D33*F33*H33,5)</f>
        <v>#DIV/0!</v>
      </c>
      <c r="K33" s="427"/>
      <c r="M33" s="40" t="s">
        <v>65</v>
      </c>
      <c r="N33" s="40"/>
      <c r="O33" s="40"/>
      <c r="P33" s="40"/>
      <c r="Q33" s="40"/>
      <c r="R33" s="40"/>
    </row>
    <row r="35" spans="2:19" ht="13.5" customHeight="1" x14ac:dyDescent="0.15">
      <c r="B35" s="436" t="s">
        <v>62</v>
      </c>
      <c r="C35" s="396"/>
      <c r="D35" s="418" t="s">
        <v>233</v>
      </c>
      <c r="E35" s="419"/>
      <c r="F35" s="418" t="s">
        <v>234</v>
      </c>
      <c r="G35" s="425"/>
      <c r="H35" s="418" t="s">
        <v>61</v>
      </c>
      <c r="I35" s="425"/>
      <c r="J35" s="424" t="s">
        <v>74</v>
      </c>
      <c r="K35" s="418" t="s">
        <v>75</v>
      </c>
      <c r="L35" s="425"/>
      <c r="M35" s="424" t="s">
        <v>76</v>
      </c>
      <c r="N35" s="472" t="e">
        <f>ROUND(H36*K36,5)</f>
        <v>#VALUE!</v>
      </c>
      <c r="O35" s="473"/>
      <c r="P35" s="458" t="s">
        <v>230</v>
      </c>
      <c r="S35" s="143"/>
    </row>
    <row r="36" spans="2:19" ht="14.25" customHeight="1" x14ac:dyDescent="0.15">
      <c r="B36" s="437"/>
      <c r="C36" s="358"/>
      <c r="D36" s="420" t="str">
        <f>F30</f>
        <v>－</v>
      </c>
      <c r="E36" s="421"/>
      <c r="F36" s="422" t="e">
        <f>J33</f>
        <v>#DIV/0!</v>
      </c>
      <c r="G36" s="423"/>
      <c r="H36" s="422" t="e">
        <f>ROUND(D36*F36,5)</f>
        <v>#VALUE!</v>
      </c>
      <c r="I36" s="423"/>
      <c r="J36" s="424"/>
      <c r="K36" s="418">
        <v>0.7</v>
      </c>
      <c r="L36" s="425"/>
      <c r="M36" s="424"/>
      <c r="N36" s="474"/>
      <c r="O36" s="475"/>
      <c r="P36" s="459"/>
      <c r="S36" s="143"/>
    </row>
    <row r="37" spans="2:19" x14ac:dyDescent="0.15">
      <c r="D37" s="441" t="s">
        <v>424</v>
      </c>
      <c r="E37" s="441"/>
      <c r="F37" s="441"/>
      <c r="G37" s="441"/>
      <c r="H37" s="441"/>
      <c r="I37" s="441"/>
      <c r="J37" s="441"/>
    </row>
    <row r="49" spans="1:23" x14ac:dyDescent="0.1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</row>
  </sheetData>
  <mergeCells count="102">
    <mergeCell ref="P35:P36"/>
    <mergeCell ref="J3:P4"/>
    <mergeCell ref="Q3:V4"/>
    <mergeCell ref="M16:N16"/>
    <mergeCell ref="Q13:S13"/>
    <mergeCell ref="M20:N20"/>
    <mergeCell ref="O21:P21"/>
    <mergeCell ref="T14:U14"/>
    <mergeCell ref="R11:S11"/>
    <mergeCell ref="M35:M36"/>
    <mergeCell ref="N6:N8"/>
    <mergeCell ref="N35:O36"/>
    <mergeCell ref="J23:K23"/>
    <mergeCell ref="J24:K24"/>
    <mergeCell ref="L23:M23"/>
    <mergeCell ref="L24:M24"/>
    <mergeCell ref="L25:M25"/>
    <mergeCell ref="B7:G7"/>
    <mergeCell ref="B12:G12"/>
    <mergeCell ref="B10:G10"/>
    <mergeCell ref="K7:L8"/>
    <mergeCell ref="K11:L11"/>
    <mergeCell ref="B8:B9"/>
    <mergeCell ref="G8:G9"/>
    <mergeCell ref="I17:I19"/>
    <mergeCell ref="B11:G11"/>
    <mergeCell ref="B13:G13"/>
    <mergeCell ref="I13:K13"/>
    <mergeCell ref="B4:G4"/>
    <mergeCell ref="B5:G5"/>
    <mergeCell ref="B6:G6"/>
    <mergeCell ref="D8:D9"/>
    <mergeCell ref="E8:E9"/>
    <mergeCell ref="F8:F9"/>
    <mergeCell ref="B23:C25"/>
    <mergeCell ref="B15:G15"/>
    <mergeCell ref="M14:N14"/>
    <mergeCell ref="M15:N15"/>
    <mergeCell ref="B14:G14"/>
    <mergeCell ref="B21:G21"/>
    <mergeCell ref="B19:G19"/>
    <mergeCell ref="B16:G16"/>
    <mergeCell ref="B17:G17"/>
    <mergeCell ref="B18:G18"/>
    <mergeCell ref="B20:G20"/>
    <mergeCell ref="D24:E24"/>
    <mergeCell ref="D25:E25"/>
    <mergeCell ref="D23:E23"/>
    <mergeCell ref="J25:K25"/>
    <mergeCell ref="H24:I24"/>
    <mergeCell ref="H25:I25"/>
    <mergeCell ref="F24:G24"/>
    <mergeCell ref="B32:C33"/>
    <mergeCell ref="F32:G32"/>
    <mergeCell ref="F33:G33"/>
    <mergeCell ref="D32:E32"/>
    <mergeCell ref="D33:E33"/>
    <mergeCell ref="H33:I33"/>
    <mergeCell ref="J32:K32"/>
    <mergeCell ref="D37:J37"/>
    <mergeCell ref="B35:C36"/>
    <mergeCell ref="F35:G35"/>
    <mergeCell ref="B26:C28"/>
    <mergeCell ref="B29:C30"/>
    <mergeCell ref="D35:E35"/>
    <mergeCell ref="D36:E36"/>
    <mergeCell ref="H36:I36"/>
    <mergeCell ref="J35:J36"/>
    <mergeCell ref="H32:I32"/>
    <mergeCell ref="J33:K33"/>
    <mergeCell ref="K35:L35"/>
    <mergeCell ref="D26:E26"/>
    <mergeCell ref="H35:I35"/>
    <mergeCell ref="K36:L36"/>
    <mergeCell ref="D30:E30"/>
    <mergeCell ref="L26:M26"/>
    <mergeCell ref="L27:M27"/>
    <mergeCell ref="L28:M28"/>
    <mergeCell ref="L29:M29"/>
    <mergeCell ref="L30:M30"/>
    <mergeCell ref="J26:K26"/>
    <mergeCell ref="J27:K27"/>
    <mergeCell ref="J28:K28"/>
    <mergeCell ref="J29:K29"/>
    <mergeCell ref="J30:K30"/>
    <mergeCell ref="F36:G36"/>
    <mergeCell ref="F23:G23"/>
    <mergeCell ref="F25:G25"/>
    <mergeCell ref="F26:G26"/>
    <mergeCell ref="D29:E29"/>
    <mergeCell ref="H29:I29"/>
    <mergeCell ref="H30:I30"/>
    <mergeCell ref="F29:G29"/>
    <mergeCell ref="D27:E27"/>
    <mergeCell ref="D28:E28"/>
    <mergeCell ref="H27:I27"/>
    <mergeCell ref="H23:I23"/>
    <mergeCell ref="F30:G30"/>
    <mergeCell ref="F28:G28"/>
    <mergeCell ref="F27:G27"/>
    <mergeCell ref="H28:I28"/>
    <mergeCell ref="H26:I26"/>
  </mergeCells>
  <phoneticPr fontId="2"/>
  <printOptions horizont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B053-2C93-4A69-8776-53339F919B2C}">
  <sheetPr>
    <tabColor indexed="45"/>
    <pageSetUpPr fitToPage="1"/>
  </sheetPr>
  <dimension ref="A1:Z85"/>
  <sheetViews>
    <sheetView view="pageBreakPreview" zoomScale="75" zoomScaleNormal="50" workbookViewId="0">
      <selection activeCell="Y3" sqref="Y3"/>
    </sheetView>
  </sheetViews>
  <sheetFormatPr defaultColWidth="8.75" defaultRowHeight="13.5" x14ac:dyDescent="0.15"/>
  <cols>
    <col min="1" max="9" width="5.625" style="30" customWidth="1"/>
    <col min="10" max="10" width="0.875" style="30" customWidth="1"/>
    <col min="11" max="16" width="5.625" style="30" customWidth="1"/>
    <col min="17" max="17" width="0.875" style="30" customWidth="1"/>
    <col min="18" max="19" width="5.625" style="30" customWidth="1"/>
    <col min="20" max="23" width="4.625" style="30" customWidth="1"/>
    <col min="24" max="16384" width="8.75" style="30"/>
  </cols>
  <sheetData>
    <row r="1" spans="1:26" ht="32.25" customHeight="1" x14ac:dyDescent="0.15">
      <c r="A1" s="343" t="s">
        <v>480</v>
      </c>
    </row>
    <row r="2" spans="1:26" ht="18.75" customHeight="1" x14ac:dyDescent="0.15">
      <c r="A2" s="64" t="s">
        <v>67</v>
      </c>
      <c r="B2" s="64"/>
      <c r="C2" s="64"/>
      <c r="D2" s="64"/>
      <c r="E2" s="64"/>
      <c r="H2" s="40"/>
      <c r="I2" s="40"/>
    </row>
    <row r="3" spans="1:26" ht="18.75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6" ht="18.75" customHeight="1" x14ac:dyDescent="0.15">
      <c r="A4" s="20" t="s">
        <v>391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6" ht="18.75" customHeight="1" x14ac:dyDescent="0.15">
      <c r="A5" s="20" t="s">
        <v>392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26" ht="18.75" customHeight="1" x14ac:dyDescent="0.15">
      <c r="A6" s="20" t="s">
        <v>393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X6" s="40"/>
    </row>
    <row r="7" spans="1:26" ht="18.75" customHeight="1" x14ac:dyDescent="0.1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62"/>
      <c r="S7" s="24"/>
      <c r="T7" s="24"/>
      <c r="U7" s="24"/>
      <c r="V7" s="24"/>
      <c r="X7" s="40"/>
    </row>
    <row r="8" spans="1:26" ht="18.75" customHeight="1" x14ac:dyDescent="0.15">
      <c r="A8" s="24"/>
      <c r="B8" s="24"/>
      <c r="C8" s="24"/>
      <c r="D8" s="24"/>
      <c r="E8" s="24"/>
      <c r="F8" s="24"/>
      <c r="G8" s="37"/>
      <c r="H8" s="37"/>
      <c r="I8" s="37"/>
      <c r="J8" s="67"/>
      <c r="K8" s="67"/>
      <c r="L8" s="67"/>
      <c r="M8" s="24"/>
      <c r="N8" s="24"/>
      <c r="O8" s="24"/>
      <c r="P8" s="24"/>
      <c r="Q8" s="24"/>
      <c r="R8" s="62"/>
      <c r="S8" s="70"/>
      <c r="T8" s="24"/>
      <c r="U8" s="24"/>
      <c r="V8" s="24"/>
      <c r="X8" s="6"/>
    </row>
    <row r="9" spans="1:26" ht="18.75" customHeight="1" x14ac:dyDescent="0.15">
      <c r="A9" s="24"/>
      <c r="B9" s="69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69"/>
      <c r="P9" s="24"/>
      <c r="Q9" s="24"/>
      <c r="R9" s="24"/>
      <c r="S9" s="70"/>
      <c r="T9" s="69"/>
      <c r="U9" s="18"/>
      <c r="V9" s="67"/>
      <c r="W9" s="7"/>
      <c r="X9" s="40"/>
    </row>
    <row r="10" spans="1:26" ht="18.75" customHeight="1" x14ac:dyDescent="0.15">
      <c r="A10" s="24"/>
      <c r="B10" s="69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69"/>
      <c r="P10" s="24"/>
      <c r="Q10" s="24"/>
      <c r="R10" s="24"/>
      <c r="S10" s="70"/>
      <c r="T10" s="69"/>
      <c r="U10" s="67"/>
      <c r="V10" s="67"/>
      <c r="W10" s="7"/>
      <c r="X10" s="40"/>
    </row>
    <row r="11" spans="1:26" ht="18.75" customHeight="1" x14ac:dyDescent="0.15">
      <c r="A11" s="24"/>
      <c r="B11" s="6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69"/>
      <c r="P11" s="24"/>
      <c r="Q11" s="24"/>
      <c r="R11" s="24"/>
      <c r="S11" s="70"/>
      <c r="T11" s="69"/>
      <c r="U11" s="67"/>
      <c r="V11" s="67"/>
      <c r="W11" s="7"/>
    </row>
    <row r="12" spans="1:26" ht="18.75" customHeight="1" x14ac:dyDescent="0.15">
      <c r="A12" s="24"/>
      <c r="B12" s="69"/>
      <c r="C12" s="24"/>
      <c r="D12" s="24"/>
      <c r="E12" s="24"/>
      <c r="F12" s="24"/>
      <c r="G12" s="24"/>
      <c r="H12" s="69"/>
      <c r="I12" s="24"/>
      <c r="J12" s="24"/>
      <c r="K12" s="24"/>
      <c r="L12" s="24"/>
      <c r="M12" s="24"/>
      <c r="N12" s="24"/>
      <c r="O12" s="69"/>
      <c r="P12" s="24"/>
      <c r="Q12" s="24"/>
      <c r="R12" s="70"/>
      <c r="S12" s="70"/>
      <c r="T12" s="69"/>
      <c r="U12" s="67"/>
      <c r="V12" s="67"/>
      <c r="W12" s="7"/>
    </row>
    <row r="13" spans="1:26" ht="18.75" customHeight="1" x14ac:dyDescent="0.15">
      <c r="A13" s="24"/>
      <c r="B13" s="69"/>
      <c r="C13" s="24"/>
      <c r="D13" s="24"/>
      <c r="E13" s="24"/>
      <c r="F13" s="24"/>
      <c r="G13" s="24"/>
      <c r="H13" s="69"/>
      <c r="I13" s="24"/>
      <c r="J13" s="70"/>
      <c r="K13" s="70"/>
      <c r="L13" s="70"/>
      <c r="M13" s="24"/>
      <c r="N13" s="24"/>
      <c r="O13" s="69"/>
      <c r="P13" s="24"/>
      <c r="Q13" s="24"/>
      <c r="R13" s="70"/>
      <c r="S13" s="70"/>
      <c r="T13" s="69"/>
      <c r="U13" s="67"/>
      <c r="V13" s="67"/>
      <c r="W13" s="7"/>
    </row>
    <row r="14" spans="1:26" ht="18.75" customHeight="1" x14ac:dyDescent="0.15">
      <c r="A14" s="24"/>
      <c r="B14" s="24"/>
      <c r="C14" s="24"/>
      <c r="D14" s="24"/>
      <c r="E14" s="24"/>
      <c r="F14" s="24"/>
      <c r="G14" s="24"/>
      <c r="H14" s="69"/>
      <c r="I14" s="24"/>
      <c r="J14" s="70"/>
      <c r="K14" s="70"/>
      <c r="L14" s="70"/>
      <c r="M14" s="24"/>
      <c r="N14" s="24"/>
      <c r="O14" s="24"/>
      <c r="P14" s="24"/>
      <c r="Q14" s="24"/>
      <c r="R14" s="24"/>
      <c r="S14" s="70"/>
      <c r="T14" s="69"/>
      <c r="U14" s="67"/>
      <c r="V14" s="67"/>
      <c r="W14" s="7"/>
    </row>
    <row r="15" spans="1:26" ht="18.75" customHeight="1" x14ac:dyDescent="0.1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70"/>
      <c r="T15" s="69"/>
      <c r="U15" s="67"/>
      <c r="V15" s="67"/>
      <c r="W15" s="7"/>
    </row>
    <row r="16" spans="1:26" ht="18.75" customHeight="1" x14ac:dyDescent="0.1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70"/>
      <c r="T16" s="69"/>
      <c r="U16" s="67"/>
      <c r="V16" s="67"/>
      <c r="W16" s="7"/>
      <c r="Y16" s="497"/>
      <c r="Z16" s="497"/>
    </row>
    <row r="17" spans="1:23" ht="18.75" customHeight="1" x14ac:dyDescent="0.15">
      <c r="A17" s="24"/>
      <c r="B17" s="24"/>
      <c r="C17" s="115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70"/>
      <c r="T17" s="69"/>
      <c r="U17" s="67"/>
      <c r="V17" s="67"/>
      <c r="W17" s="7"/>
    </row>
    <row r="18" spans="1:23" ht="18.75" customHeight="1" x14ac:dyDescent="0.15">
      <c r="A18" s="68"/>
      <c r="B18" s="68"/>
      <c r="C18" s="68"/>
      <c r="D18" s="68"/>
      <c r="E18" s="68"/>
      <c r="F18" s="68"/>
      <c r="G18" s="68"/>
      <c r="H18" s="71"/>
      <c r="I18" s="71"/>
      <c r="J18" s="68"/>
      <c r="K18" s="68"/>
      <c r="L18" s="68"/>
      <c r="M18" s="68"/>
      <c r="N18" s="68"/>
      <c r="O18" s="68"/>
      <c r="P18" s="68"/>
      <c r="Q18" s="24"/>
      <c r="R18" s="70"/>
      <c r="S18" s="24"/>
      <c r="T18" s="194"/>
      <c r="U18" s="62"/>
      <c r="V18" s="67"/>
      <c r="W18" s="7"/>
    </row>
    <row r="19" spans="1:23" ht="18.75" customHeight="1" x14ac:dyDescent="0.1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24"/>
      <c r="R19" s="70"/>
      <c r="S19" s="70"/>
      <c r="T19" s="69"/>
      <c r="U19" s="67"/>
      <c r="V19" s="67"/>
      <c r="W19" s="7"/>
    </row>
    <row r="20" spans="1:23" ht="18.75" customHeight="1" x14ac:dyDescent="0.1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70"/>
      <c r="T20" s="69"/>
      <c r="U20" s="67"/>
      <c r="V20" s="67"/>
      <c r="W20" s="7"/>
    </row>
    <row r="21" spans="1:23" ht="18.75" customHeight="1" x14ac:dyDescent="0.15">
      <c r="A21" s="24"/>
      <c r="B21" s="24"/>
      <c r="C21" s="24"/>
      <c r="D21" s="24"/>
      <c r="E21" s="24"/>
      <c r="F21" s="24"/>
      <c r="G21" s="24"/>
      <c r="H21" s="62"/>
      <c r="I21" s="24"/>
      <c r="J21" s="62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</row>
    <row r="22" spans="1:23" ht="18.75" customHeight="1" x14ac:dyDescent="0.15">
      <c r="A22" s="24"/>
      <c r="B22" s="24"/>
      <c r="C22" s="24"/>
      <c r="D22" s="24"/>
      <c r="E22" s="24"/>
      <c r="F22" s="24"/>
      <c r="G22" s="24"/>
      <c r="H22" s="24"/>
      <c r="I22" s="24"/>
      <c r="J22" s="62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</row>
    <row r="23" spans="1:23" ht="18.75" customHeight="1" x14ac:dyDescent="0.1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153"/>
      <c r="T23" s="153"/>
      <c r="U23" s="153"/>
      <c r="V23" s="153"/>
      <c r="W23" s="146"/>
    </row>
    <row r="24" spans="1:23" ht="18.75" customHeight="1" x14ac:dyDescent="0.15">
      <c r="A24" s="40"/>
      <c r="B24" s="10"/>
      <c r="C24" s="10"/>
      <c r="D24" s="9"/>
      <c r="E24" s="9"/>
      <c r="F24" s="24"/>
      <c r="G24" s="10"/>
      <c r="H24" s="10"/>
      <c r="I24" s="9"/>
      <c r="J24" s="9"/>
      <c r="K24" s="9"/>
      <c r="L24" s="24"/>
      <c r="M24" s="24"/>
      <c r="N24" s="24"/>
      <c r="O24" s="24"/>
      <c r="P24" s="24"/>
      <c r="R24" s="40"/>
    </row>
    <row r="25" spans="1:23" ht="18.75" customHeight="1" thickBot="1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23" ht="18.75" customHeight="1" thickTop="1" x14ac:dyDescent="0.15">
      <c r="B26" s="511" t="s">
        <v>226</v>
      </c>
      <c r="C26" s="486"/>
      <c r="D26" s="486"/>
      <c r="E26" s="486"/>
      <c r="F26" s="486"/>
      <c r="G26" s="486"/>
      <c r="H26" s="116"/>
      <c r="I26" s="116"/>
      <c r="J26" s="116"/>
      <c r="K26" s="117"/>
      <c r="L26" s="116"/>
      <c r="M26" s="116"/>
      <c r="N26" s="117"/>
      <c r="O26" s="117"/>
      <c r="P26" s="116"/>
      <c r="Q26" s="116"/>
      <c r="R26" s="116"/>
      <c r="S26" s="118"/>
      <c r="T26" s="40"/>
      <c r="U26" s="40"/>
      <c r="V26" s="40"/>
      <c r="W26" s="40"/>
    </row>
    <row r="27" spans="1:23" ht="18.75" customHeight="1" x14ac:dyDescent="0.15">
      <c r="A27" s="2"/>
      <c r="B27" s="487"/>
      <c r="C27" s="488"/>
      <c r="D27" s="488"/>
      <c r="E27" s="488"/>
      <c r="F27" s="488"/>
      <c r="G27" s="488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119"/>
      <c r="T27" s="40"/>
      <c r="U27" s="40"/>
      <c r="V27" s="40"/>
      <c r="W27" s="40"/>
    </row>
    <row r="28" spans="1:23" ht="18.75" customHeight="1" x14ac:dyDescent="0.15">
      <c r="A28" s="2"/>
      <c r="B28" s="4" t="s">
        <v>77</v>
      </c>
      <c r="C28" s="60" t="s">
        <v>378</v>
      </c>
      <c r="D28" s="5"/>
      <c r="E28" s="5"/>
      <c r="F28" s="5"/>
      <c r="G28" s="5"/>
      <c r="H28" s="5"/>
      <c r="I28" s="5"/>
      <c r="J28" s="40"/>
      <c r="K28" s="40"/>
      <c r="L28" s="40"/>
      <c r="M28" s="40"/>
      <c r="N28" s="40"/>
      <c r="O28" s="40"/>
      <c r="P28" s="40"/>
      <c r="Q28" s="40"/>
      <c r="R28" s="40"/>
      <c r="S28" s="119"/>
      <c r="T28" s="40"/>
      <c r="U28" s="40"/>
      <c r="V28" s="40"/>
      <c r="W28" s="40"/>
    </row>
    <row r="29" spans="1:23" ht="18.75" customHeight="1" x14ac:dyDescent="0.15">
      <c r="A29" s="24"/>
      <c r="B29" s="4"/>
      <c r="C29" s="5"/>
      <c r="D29" s="5"/>
      <c r="E29" s="5"/>
      <c r="F29" s="5"/>
      <c r="G29" s="5"/>
      <c r="H29" s="5"/>
      <c r="I29" s="5"/>
      <c r="J29" s="40"/>
      <c r="K29" s="40"/>
      <c r="L29" s="40"/>
      <c r="M29" s="510" t="s">
        <v>418</v>
      </c>
      <c r="N29" s="510"/>
      <c r="O29" s="40"/>
      <c r="P29" s="40"/>
      <c r="Q29" s="40"/>
      <c r="R29" s="40"/>
      <c r="S29" s="119"/>
      <c r="T29" s="40"/>
      <c r="U29" s="40"/>
      <c r="V29" s="40"/>
      <c r="W29" s="40"/>
    </row>
    <row r="30" spans="1:23" ht="18.75" customHeight="1" x14ac:dyDescent="0.15">
      <c r="A30" s="24"/>
      <c r="B30" s="120"/>
      <c r="C30" s="523" t="s">
        <v>80</v>
      </c>
      <c r="D30" s="523"/>
      <c r="E30" s="502" t="e">
        <f>ROUND(((3600000*通水量!N35)-(90*E35/2*I35))/(M35*100*I35),1)</f>
        <v>#VALUE!</v>
      </c>
      <c r="F30" s="503"/>
      <c r="G30" s="503"/>
      <c r="H30" s="503"/>
      <c r="I30" s="504"/>
      <c r="J30" s="500" t="s">
        <v>48</v>
      </c>
      <c r="K30" s="500"/>
      <c r="L30" s="478" t="s">
        <v>101</v>
      </c>
      <c r="M30" s="518" t="e">
        <f>データ入力!D17+E43</f>
        <v>#DIV/0!</v>
      </c>
      <c r="N30" s="519"/>
      <c r="O30" s="478" t="s">
        <v>92</v>
      </c>
      <c r="P30" s="40"/>
      <c r="Q30" s="40"/>
      <c r="R30" s="40"/>
      <c r="S30" s="119"/>
      <c r="T30" s="40"/>
      <c r="U30" s="40"/>
      <c r="V30" s="40"/>
      <c r="W30" s="40"/>
    </row>
    <row r="31" spans="1:23" ht="18.75" customHeight="1" x14ac:dyDescent="0.15">
      <c r="A31" s="24"/>
      <c r="B31" s="120"/>
      <c r="C31" s="523"/>
      <c r="D31" s="523"/>
      <c r="E31" s="505"/>
      <c r="F31" s="506"/>
      <c r="G31" s="506"/>
      <c r="H31" s="506"/>
      <c r="I31" s="507"/>
      <c r="J31" s="500"/>
      <c r="K31" s="500"/>
      <c r="L31" s="478"/>
      <c r="M31" s="520"/>
      <c r="N31" s="521"/>
      <c r="O31" s="478"/>
      <c r="P31" s="40"/>
      <c r="Q31" s="40"/>
      <c r="R31" s="40"/>
      <c r="S31" s="119"/>
      <c r="T31" s="40"/>
      <c r="U31" s="40"/>
      <c r="V31" s="40"/>
      <c r="W31" s="40"/>
    </row>
    <row r="32" spans="1:23" ht="17.25" customHeight="1" x14ac:dyDescent="0.15">
      <c r="A32" s="24"/>
      <c r="B32" s="121"/>
      <c r="C32" s="11"/>
      <c r="D32" s="11"/>
      <c r="E32" s="12"/>
      <c r="F32" s="12"/>
      <c r="G32" s="12"/>
      <c r="H32" s="12"/>
      <c r="I32" s="12"/>
      <c r="J32" s="27"/>
      <c r="K32" s="27"/>
      <c r="L32" s="12"/>
      <c r="M32" s="27"/>
      <c r="N32" s="27"/>
      <c r="O32" s="12"/>
      <c r="P32" s="24"/>
      <c r="Q32" s="24"/>
      <c r="R32" s="24"/>
      <c r="S32" s="122"/>
      <c r="T32" s="40"/>
      <c r="U32" s="40"/>
      <c r="V32" s="40"/>
      <c r="W32" s="40"/>
    </row>
    <row r="33" spans="1:23" ht="26.25" customHeight="1" x14ac:dyDescent="0.15">
      <c r="A33" s="24"/>
      <c r="B33" s="120"/>
      <c r="C33" s="453"/>
      <c r="D33" s="453"/>
      <c r="E33" s="40"/>
      <c r="F33" s="123" t="s">
        <v>227</v>
      </c>
      <c r="G33" s="124"/>
      <c r="H33" s="124"/>
      <c r="I33" s="124"/>
      <c r="J33" s="124"/>
      <c r="K33" s="124"/>
      <c r="L33" s="124"/>
      <c r="M33" s="124"/>
      <c r="N33" s="124"/>
      <c r="O33" s="40"/>
      <c r="P33" s="40"/>
      <c r="Q33" s="40"/>
      <c r="R33" s="40"/>
      <c r="S33" s="119"/>
      <c r="T33" s="40"/>
      <c r="U33" s="40"/>
      <c r="V33" s="40"/>
      <c r="W33" s="40"/>
    </row>
    <row r="34" spans="1:23" ht="18.75" customHeight="1" x14ac:dyDescent="0.15">
      <c r="A34" s="24"/>
      <c r="B34" s="120"/>
      <c r="C34" s="40"/>
      <c r="D34" s="40"/>
      <c r="E34" s="462" t="s">
        <v>78</v>
      </c>
      <c r="F34" s="462"/>
      <c r="G34" s="462"/>
      <c r="H34" s="40"/>
      <c r="I34" s="453" t="s">
        <v>79</v>
      </c>
      <c r="J34" s="453"/>
      <c r="K34" s="453"/>
      <c r="L34" s="40"/>
      <c r="M34" s="44" t="s">
        <v>102</v>
      </c>
      <c r="N34" s="44"/>
      <c r="O34" s="44"/>
      <c r="P34" s="40"/>
      <c r="Q34" s="40"/>
      <c r="R34" s="40"/>
      <c r="S34" s="119"/>
      <c r="T34" s="40"/>
      <c r="U34" s="40"/>
      <c r="V34" s="40"/>
      <c r="W34" s="40"/>
    </row>
    <row r="35" spans="1:23" ht="18.75" customHeight="1" x14ac:dyDescent="0.15">
      <c r="B35" s="120"/>
      <c r="C35" s="40"/>
      <c r="D35" s="40"/>
      <c r="E35" s="489" t="e">
        <f>データ入力!D11</f>
        <v>#DIV/0!</v>
      </c>
      <c r="F35" s="490"/>
      <c r="G35" s="40"/>
      <c r="H35" s="28"/>
      <c r="I35" s="489">
        <f>データ入力!D12</f>
        <v>0</v>
      </c>
      <c r="J35" s="501"/>
      <c r="K35" s="490"/>
      <c r="L35" s="40"/>
      <c r="M35" s="489">
        <f>データ入力!D28</f>
        <v>0</v>
      </c>
      <c r="N35" s="490"/>
      <c r="O35" s="40"/>
      <c r="P35" s="40"/>
      <c r="Q35" s="40"/>
      <c r="R35" s="40"/>
      <c r="S35" s="119"/>
      <c r="T35" s="40"/>
      <c r="U35" s="40"/>
      <c r="V35" s="40"/>
      <c r="W35" s="40"/>
    </row>
    <row r="36" spans="1:23" ht="18.75" customHeight="1" x14ac:dyDescent="0.15">
      <c r="A36" s="3"/>
      <c r="B36" s="120"/>
      <c r="C36" s="40"/>
      <c r="D36" s="453" t="s">
        <v>38</v>
      </c>
      <c r="E36" s="453"/>
      <c r="F36" s="453"/>
      <c r="G36" s="453"/>
      <c r="H36" s="453"/>
      <c r="I36" s="40"/>
      <c r="J36" s="40"/>
      <c r="K36" s="40"/>
      <c r="L36" s="40"/>
      <c r="M36" s="40"/>
      <c r="N36" s="40"/>
      <c r="O36" s="40"/>
      <c r="P36" s="24"/>
      <c r="Q36" s="40"/>
      <c r="R36" s="40"/>
      <c r="S36" s="119"/>
      <c r="T36" s="40"/>
      <c r="U36" s="40"/>
      <c r="V36" s="40"/>
      <c r="W36" s="40"/>
    </row>
    <row r="37" spans="1:23" ht="18.75" customHeight="1" thickBot="1" x14ac:dyDescent="0.2">
      <c r="A37" s="3"/>
      <c r="B37" s="125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7"/>
      <c r="T37" s="40"/>
      <c r="U37" s="40"/>
      <c r="V37" s="40"/>
      <c r="W37" s="40"/>
    </row>
    <row r="38" spans="1:23" ht="18.75" customHeight="1" thickTop="1" thickBot="1" x14ac:dyDescent="0.2"/>
    <row r="39" spans="1:23" ht="18.75" customHeight="1" thickTop="1" x14ac:dyDescent="0.15">
      <c r="B39" s="511" t="s">
        <v>225</v>
      </c>
      <c r="C39" s="486"/>
      <c r="D39" s="486"/>
      <c r="E39" s="486"/>
      <c r="F39" s="486"/>
      <c r="G39" s="486"/>
      <c r="H39" s="486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18"/>
      <c r="T39" s="40"/>
      <c r="U39" s="40"/>
      <c r="V39" s="40"/>
      <c r="W39" s="40"/>
    </row>
    <row r="40" spans="1:23" ht="18.75" customHeight="1" x14ac:dyDescent="0.15">
      <c r="B40" s="487"/>
      <c r="C40" s="488"/>
      <c r="D40" s="488"/>
      <c r="E40" s="488"/>
      <c r="F40" s="488"/>
      <c r="G40" s="488"/>
      <c r="H40" s="488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119"/>
      <c r="T40" s="40"/>
      <c r="U40" s="40"/>
      <c r="V40" s="40"/>
      <c r="W40" s="40"/>
    </row>
    <row r="41" spans="1:23" ht="18.75" customHeight="1" x14ac:dyDescent="0.15">
      <c r="B41" s="120"/>
      <c r="C41" s="40" t="s">
        <v>236</v>
      </c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119"/>
      <c r="T41" s="40"/>
      <c r="U41" s="40"/>
      <c r="V41" s="40"/>
      <c r="W41" s="40"/>
    </row>
    <row r="42" spans="1:23" ht="18.75" customHeight="1" x14ac:dyDescent="0.15">
      <c r="B42" s="12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119"/>
      <c r="T42" s="40"/>
      <c r="U42" s="40"/>
      <c r="V42" s="40"/>
      <c r="W42" s="40"/>
    </row>
    <row r="43" spans="1:23" ht="18.75" customHeight="1" x14ac:dyDescent="0.15">
      <c r="B43" s="120"/>
      <c r="C43" s="478" t="s">
        <v>86</v>
      </c>
      <c r="D43" s="478"/>
      <c r="E43" s="502" t="e">
        <f>ROUND(ROUND(ROUND(I48/(24*60*60),5)*3600000/M35/100,1)/P48,1)</f>
        <v>#DIV/0!</v>
      </c>
      <c r="F43" s="503"/>
      <c r="G43" s="503"/>
      <c r="H43" s="503"/>
      <c r="I43" s="504"/>
      <c r="J43" s="500" t="s">
        <v>48</v>
      </c>
      <c r="K43" s="500"/>
      <c r="L43" s="40"/>
      <c r="M43" s="40"/>
      <c r="N43" s="40"/>
      <c r="O43" s="40"/>
      <c r="P43" s="40"/>
      <c r="Q43" s="40"/>
      <c r="R43" s="40"/>
      <c r="S43" s="119"/>
      <c r="T43" s="40"/>
      <c r="U43" s="40"/>
      <c r="V43" s="40"/>
      <c r="W43" s="40"/>
    </row>
    <row r="44" spans="1:23" ht="18.75" customHeight="1" x14ac:dyDescent="0.15">
      <c r="B44" s="120"/>
      <c r="C44" s="478"/>
      <c r="D44" s="478"/>
      <c r="E44" s="505"/>
      <c r="F44" s="506"/>
      <c r="G44" s="506"/>
      <c r="H44" s="506"/>
      <c r="I44" s="507"/>
      <c r="J44" s="500"/>
      <c r="K44" s="500"/>
      <c r="L44" s="40"/>
      <c r="M44" s="40"/>
      <c r="N44" s="40"/>
      <c r="O44" s="40"/>
      <c r="P44" s="40"/>
      <c r="Q44" s="40"/>
      <c r="R44" s="40"/>
      <c r="S44" s="119"/>
      <c r="T44" s="40"/>
      <c r="U44" s="40"/>
      <c r="V44" s="40"/>
      <c r="W44" s="40"/>
    </row>
    <row r="45" spans="1:23" ht="18.75" customHeight="1" x14ac:dyDescent="0.15">
      <c r="B45" s="12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119"/>
      <c r="T45" s="40"/>
      <c r="U45" s="40"/>
      <c r="V45" s="40"/>
      <c r="W45" s="40"/>
    </row>
    <row r="46" spans="1:23" ht="18.75" customHeight="1" x14ac:dyDescent="0.15">
      <c r="B46" s="120"/>
      <c r="C46" s="40"/>
      <c r="D46" s="40"/>
      <c r="E46" s="493" t="s">
        <v>87</v>
      </c>
      <c r="F46" s="494"/>
      <c r="G46" s="494"/>
      <c r="H46" s="494"/>
      <c r="I46" s="494"/>
      <c r="J46" s="494"/>
      <c r="K46" s="129"/>
      <c r="L46" s="40"/>
      <c r="M46" s="493" t="s">
        <v>84</v>
      </c>
      <c r="N46" s="494"/>
      <c r="O46" s="494"/>
      <c r="P46" s="494"/>
      <c r="Q46" s="494"/>
      <c r="R46" s="129"/>
      <c r="S46" s="119"/>
      <c r="T46" s="40"/>
      <c r="U46" s="40"/>
      <c r="V46" s="40"/>
      <c r="W46" s="40"/>
    </row>
    <row r="47" spans="1:23" ht="18.75" customHeight="1" x14ac:dyDescent="0.15">
      <c r="B47" s="120"/>
      <c r="C47" s="40"/>
      <c r="D47" s="40"/>
      <c r="E47" s="491" t="s">
        <v>192</v>
      </c>
      <c r="F47" s="492"/>
      <c r="G47" s="492"/>
      <c r="H47" s="492"/>
      <c r="I47" s="508" t="s">
        <v>449</v>
      </c>
      <c r="J47" s="508"/>
      <c r="K47" s="509"/>
      <c r="L47" s="40"/>
      <c r="M47" s="130" t="s">
        <v>89</v>
      </c>
      <c r="N47" s="40"/>
      <c r="O47" s="40"/>
      <c r="P47" s="492" t="s">
        <v>90</v>
      </c>
      <c r="Q47" s="492"/>
      <c r="R47" s="522"/>
      <c r="S47" s="119"/>
      <c r="T47" s="40"/>
      <c r="U47" s="40"/>
      <c r="V47" s="40"/>
      <c r="W47" s="40"/>
    </row>
    <row r="48" spans="1:23" ht="18.75" customHeight="1" x14ac:dyDescent="0.15">
      <c r="B48" s="120"/>
      <c r="C48" s="40"/>
      <c r="D48" s="40"/>
      <c r="E48" s="489">
        <f>データ入力!D37</f>
        <v>0</v>
      </c>
      <c r="F48" s="490"/>
      <c r="G48" s="40"/>
      <c r="H48" s="40"/>
      <c r="I48" s="489">
        <f>データ入力!D38</f>
        <v>0</v>
      </c>
      <c r="J48" s="501"/>
      <c r="K48" s="490"/>
      <c r="L48" s="40"/>
      <c r="M48" s="489">
        <f>データ入力!D17</f>
        <v>0</v>
      </c>
      <c r="N48" s="490"/>
      <c r="O48" s="40"/>
      <c r="P48" s="489">
        <f>データ入力!D16</f>
        <v>0</v>
      </c>
      <c r="Q48" s="501"/>
      <c r="R48" s="490"/>
      <c r="S48" s="119"/>
      <c r="T48" s="40"/>
      <c r="U48" s="40"/>
      <c r="V48" s="40"/>
      <c r="W48" s="40"/>
    </row>
    <row r="49" spans="1:23" ht="18.75" customHeight="1" x14ac:dyDescent="0.15">
      <c r="B49" s="120"/>
      <c r="C49" s="40"/>
      <c r="D49" s="40"/>
      <c r="E49" s="131"/>
      <c r="F49" s="132"/>
      <c r="G49" s="132"/>
      <c r="H49" s="132"/>
      <c r="I49" s="321"/>
      <c r="J49" s="321"/>
      <c r="K49" s="322"/>
      <c r="L49" s="40"/>
      <c r="M49" s="131"/>
      <c r="N49" s="132"/>
      <c r="O49" s="132"/>
      <c r="P49" s="132"/>
      <c r="Q49" s="132"/>
      <c r="R49" s="323"/>
      <c r="S49" s="119"/>
      <c r="T49" s="40"/>
      <c r="U49" s="40"/>
      <c r="V49" s="40"/>
      <c r="W49" s="40"/>
    </row>
    <row r="50" spans="1:23" ht="18.75" customHeight="1" thickBot="1" x14ac:dyDescent="0.2">
      <c r="B50" s="125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7"/>
      <c r="T50" s="40"/>
      <c r="U50" s="40"/>
      <c r="V50" s="40"/>
      <c r="W50" s="40"/>
    </row>
    <row r="51" spans="1:23" ht="18.75" customHeight="1" thickTop="1" thickBot="1" x14ac:dyDescent="0.2"/>
    <row r="52" spans="1:23" ht="18.75" customHeight="1" thickTop="1" x14ac:dyDescent="0.15">
      <c r="B52" s="485" t="s">
        <v>95</v>
      </c>
      <c r="C52" s="486"/>
      <c r="D52" s="486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18"/>
      <c r="T52" s="40"/>
      <c r="U52" s="40"/>
      <c r="V52" s="40"/>
      <c r="W52" s="40"/>
    </row>
    <row r="53" spans="1:23" ht="18.75" customHeight="1" x14ac:dyDescent="0.15">
      <c r="B53" s="487"/>
      <c r="C53" s="488"/>
      <c r="D53" s="488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119"/>
      <c r="T53" s="40"/>
      <c r="U53" s="40"/>
      <c r="V53" s="40"/>
      <c r="W53" s="40"/>
    </row>
    <row r="54" spans="1:23" ht="18.75" customHeight="1" x14ac:dyDescent="0.15">
      <c r="B54" s="120"/>
      <c r="C54" s="133" t="s">
        <v>88</v>
      </c>
      <c r="D54" s="40"/>
      <c r="E54" s="40"/>
      <c r="F54" s="40"/>
      <c r="G54" s="40"/>
      <c r="H54" s="453" t="s">
        <v>379</v>
      </c>
      <c r="I54" s="453"/>
      <c r="J54" s="453"/>
      <c r="K54" s="498" t="e">
        <f>M30-E30</f>
        <v>#DIV/0!</v>
      </c>
      <c r="L54" s="499"/>
      <c r="M54" s="40"/>
      <c r="N54" s="40"/>
      <c r="O54" s="40"/>
      <c r="P54" s="40"/>
      <c r="Q54" s="40"/>
      <c r="R54" s="40"/>
      <c r="S54" s="119"/>
      <c r="T54" s="40"/>
      <c r="U54" s="40"/>
      <c r="V54" s="40"/>
      <c r="W54" s="40"/>
    </row>
    <row r="55" spans="1:23" ht="18.75" customHeight="1" x14ac:dyDescent="0.15">
      <c r="B55" s="12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119"/>
      <c r="T55" s="40"/>
      <c r="U55" s="40"/>
      <c r="V55" s="40"/>
      <c r="W55" s="40"/>
    </row>
    <row r="56" spans="1:23" ht="18.75" customHeight="1" x14ac:dyDescent="0.15">
      <c r="B56" s="120"/>
      <c r="C56" s="462" t="s">
        <v>235</v>
      </c>
      <c r="D56" s="462"/>
      <c r="E56" s="462"/>
      <c r="F56" s="462"/>
      <c r="G56" s="462"/>
      <c r="H56" s="462"/>
      <c r="I56" s="462"/>
      <c r="J56" s="462"/>
      <c r="K56" s="462"/>
      <c r="L56" s="462"/>
      <c r="M56" s="462"/>
      <c r="N56" s="462"/>
      <c r="O56" s="462"/>
      <c r="P56" s="462"/>
      <c r="Q56" s="462"/>
      <c r="R56" s="40"/>
      <c r="S56" s="119"/>
      <c r="T56" s="40"/>
      <c r="U56" s="40"/>
      <c r="V56" s="40"/>
      <c r="W56" s="40"/>
    </row>
    <row r="57" spans="1:23" ht="18.75" customHeight="1" thickBot="1" x14ac:dyDescent="0.2">
      <c r="B57" s="12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119"/>
      <c r="T57" s="40"/>
      <c r="U57" s="40"/>
      <c r="V57" s="40"/>
      <c r="W57" s="40"/>
    </row>
    <row r="58" spans="1:23" ht="18.75" customHeight="1" x14ac:dyDescent="0.15">
      <c r="B58" s="120"/>
      <c r="C58" s="478" t="s">
        <v>91</v>
      </c>
      <c r="D58" s="478"/>
      <c r="E58" s="479" t="e">
        <f>ROUND(1/3600000*M35*100*P48*K54,5)</f>
        <v>#DIV/0!</v>
      </c>
      <c r="F58" s="480"/>
      <c r="G58" s="480"/>
      <c r="H58" s="480"/>
      <c r="I58" s="481"/>
      <c r="J58" s="495" t="s">
        <v>230</v>
      </c>
      <c r="K58" s="488"/>
      <c r="L58" s="496"/>
      <c r="M58" s="512" t="s">
        <v>228</v>
      </c>
      <c r="N58" s="513"/>
      <c r="O58" s="513"/>
      <c r="P58" s="513"/>
      <c r="Q58" s="513"/>
      <c r="R58" s="514"/>
      <c r="S58" s="119"/>
      <c r="T58" s="40"/>
      <c r="U58" s="40"/>
      <c r="V58" s="40"/>
      <c r="W58" s="40"/>
    </row>
    <row r="59" spans="1:23" ht="18.75" customHeight="1" thickBot="1" x14ac:dyDescent="0.2">
      <c r="B59" s="120"/>
      <c r="C59" s="478"/>
      <c r="D59" s="478"/>
      <c r="E59" s="482"/>
      <c r="F59" s="483"/>
      <c r="G59" s="483"/>
      <c r="H59" s="483"/>
      <c r="I59" s="484"/>
      <c r="J59" s="495"/>
      <c r="K59" s="488"/>
      <c r="L59" s="496"/>
      <c r="M59" s="515" t="s">
        <v>229</v>
      </c>
      <c r="N59" s="516"/>
      <c r="O59" s="516"/>
      <c r="P59" s="516"/>
      <c r="Q59" s="516"/>
      <c r="R59" s="517"/>
      <c r="S59" s="119"/>
      <c r="T59" s="40"/>
      <c r="U59" s="40"/>
      <c r="V59" s="40"/>
      <c r="W59" s="40"/>
    </row>
    <row r="60" spans="1:23" ht="18.75" customHeight="1" thickBot="1" x14ac:dyDescent="0.2">
      <c r="B60" s="125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7"/>
      <c r="T60" s="40"/>
      <c r="U60" s="40"/>
      <c r="V60" s="40"/>
      <c r="W60" s="40"/>
    </row>
    <row r="61" spans="1:23" s="39" customFormat="1" ht="15" customHeight="1" thickTop="1" x14ac:dyDescent="0.1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</row>
    <row r="62" spans="1:23" ht="15" customHeight="1" x14ac:dyDescent="0.15"/>
    <row r="63" spans="1:23" ht="15" customHeight="1" x14ac:dyDescent="0.15"/>
    <row r="64" spans="1:2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</sheetData>
  <mergeCells count="38">
    <mergeCell ref="M58:R58"/>
    <mergeCell ref="M59:R59"/>
    <mergeCell ref="L30:L31"/>
    <mergeCell ref="M30:N31"/>
    <mergeCell ref="O30:O31"/>
    <mergeCell ref="M35:N35"/>
    <mergeCell ref="C56:Q56"/>
    <mergeCell ref="P47:R47"/>
    <mergeCell ref="B39:H40"/>
    <mergeCell ref="C30:D31"/>
    <mergeCell ref="E30:I31"/>
    <mergeCell ref="E35:F35"/>
    <mergeCell ref="E34:G34"/>
    <mergeCell ref="I34:K34"/>
    <mergeCell ref="I35:K35"/>
    <mergeCell ref="J30:K31"/>
    <mergeCell ref="Y16:Z16"/>
    <mergeCell ref="H54:J54"/>
    <mergeCell ref="K54:L54"/>
    <mergeCell ref="M46:Q46"/>
    <mergeCell ref="M48:N48"/>
    <mergeCell ref="J43:K44"/>
    <mergeCell ref="I48:K48"/>
    <mergeCell ref="E43:I44"/>
    <mergeCell ref="I47:K47"/>
    <mergeCell ref="P48:R48"/>
    <mergeCell ref="M29:N29"/>
    <mergeCell ref="D36:H36"/>
    <mergeCell ref="C33:D33"/>
    <mergeCell ref="B26:G27"/>
    <mergeCell ref="C58:D59"/>
    <mergeCell ref="E58:I59"/>
    <mergeCell ref="C43:D44"/>
    <mergeCell ref="B52:D53"/>
    <mergeCell ref="E48:F48"/>
    <mergeCell ref="E47:H47"/>
    <mergeCell ref="E46:J46"/>
    <mergeCell ref="J58:L59"/>
  </mergeCells>
  <phoneticPr fontId="2"/>
  <printOptions horizontalCentered="1"/>
  <pageMargins left="0.59055118110236227" right="0.39370078740157483" top="0.39370078740157483" bottom="0.39370078740157483" header="0.19685039370078741" footer="0.19685039370078741"/>
  <pageSetup paperSize="9" scale="74" fitToWidth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1C841-4780-477D-9404-1F941095486F}">
  <sheetPr>
    <tabColor rgb="FFFF99CC"/>
    <pageSetUpPr fitToPage="1"/>
  </sheetPr>
  <dimension ref="A1:BB88"/>
  <sheetViews>
    <sheetView view="pageBreakPreview" zoomScale="75" zoomScaleNormal="50" zoomScaleSheetLayoutView="75" workbookViewId="0">
      <selection activeCell="N53" sqref="N53"/>
    </sheetView>
  </sheetViews>
  <sheetFormatPr defaultColWidth="8.75" defaultRowHeight="13.5" x14ac:dyDescent="0.15"/>
  <cols>
    <col min="1" max="2" width="5.625" style="30" customWidth="1"/>
    <col min="3" max="4" width="3.125" style="30" customWidth="1"/>
    <col min="5" max="6" width="5.625" style="30" customWidth="1"/>
    <col min="7" max="7" width="6.25" style="30" customWidth="1"/>
    <col min="8" max="10" width="5.625" style="30" customWidth="1"/>
    <col min="11" max="11" width="0.875" style="30" customWidth="1"/>
    <col min="12" max="14" width="5.625" style="30" customWidth="1"/>
    <col min="15" max="16" width="3.125" style="30" customWidth="1"/>
    <col min="17" max="18" width="5.625" style="30" customWidth="1"/>
    <col min="19" max="19" width="0.875" style="30" customWidth="1"/>
    <col min="20" max="21" width="5.625" style="30" customWidth="1"/>
    <col min="22" max="30" width="4.625" style="30" customWidth="1"/>
    <col min="31" max="33" width="5.625" style="30" customWidth="1"/>
    <col min="34" max="34" width="5.625" style="134" customWidth="1"/>
    <col min="35" max="35" width="7.75" style="30" customWidth="1"/>
    <col min="36" max="36" width="12.25" style="30" customWidth="1"/>
    <col min="37" max="38" width="5.625" style="30" customWidth="1"/>
    <col min="39" max="39" width="6.625" style="30" customWidth="1"/>
    <col min="40" max="46" width="5.625" style="30" customWidth="1"/>
    <col min="47" max="48" width="4.625" style="30" customWidth="1"/>
    <col min="49" max="16384" width="8.75" style="30"/>
  </cols>
  <sheetData>
    <row r="1" spans="1:51" ht="31.5" customHeight="1" x14ac:dyDescent="0.15">
      <c r="A1" s="343" t="s">
        <v>481</v>
      </c>
    </row>
    <row r="2" spans="1:51" ht="24.75" customHeight="1" x14ac:dyDescent="0.15">
      <c r="A2" s="553" t="s">
        <v>105</v>
      </c>
      <c r="B2" s="553"/>
      <c r="C2" s="553"/>
      <c r="D2" s="553"/>
      <c r="E2" s="553"/>
      <c r="F2" s="553"/>
      <c r="Z2" s="66"/>
      <c r="AA2" s="72" t="s">
        <v>122</v>
      </c>
      <c r="AB2" s="135"/>
      <c r="AC2" s="135"/>
      <c r="AD2" s="135"/>
      <c r="AE2" s="135"/>
      <c r="AF2" s="135"/>
      <c r="AG2" s="136"/>
      <c r="AH2" s="9"/>
      <c r="AI2" s="9"/>
      <c r="AJ2" s="9"/>
      <c r="AL2" s="9"/>
      <c r="AN2" s="20" t="s">
        <v>121</v>
      </c>
    </row>
    <row r="3" spans="1:51" ht="24.75" customHeight="1" x14ac:dyDescent="0.15">
      <c r="A3" s="73"/>
      <c r="B3" s="73"/>
      <c r="C3" s="73"/>
      <c r="D3" s="73"/>
      <c r="E3" s="73"/>
      <c r="F3" s="73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AF3" s="524" t="s">
        <v>0</v>
      </c>
      <c r="AG3" s="524"/>
      <c r="AH3" s="524"/>
      <c r="AI3" s="524"/>
      <c r="AJ3" s="524"/>
      <c r="AK3" s="524"/>
      <c r="AL3" s="524"/>
      <c r="AM3" s="524"/>
      <c r="AN3" s="524"/>
      <c r="AO3" s="524"/>
    </row>
    <row r="4" spans="1:51" ht="18.75" customHeight="1" x14ac:dyDescent="0.15">
      <c r="A4" s="20" t="s">
        <v>388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AE4" s="438" t="s">
        <v>1</v>
      </c>
      <c r="AF4" s="438"/>
      <c r="AG4" s="438"/>
      <c r="AH4" s="438"/>
      <c r="AI4" s="438"/>
      <c r="AJ4" s="438"/>
      <c r="AK4" s="438"/>
      <c r="AL4" s="417" t="s">
        <v>2</v>
      </c>
      <c r="AM4" s="417"/>
      <c r="AN4" s="438" t="s">
        <v>3</v>
      </c>
      <c r="AO4" s="438"/>
      <c r="AP4" s="527" t="s">
        <v>129</v>
      </c>
      <c r="AQ4" s="527"/>
      <c r="AR4" s="28"/>
      <c r="AS4" s="28"/>
      <c r="AT4" s="28"/>
    </row>
    <row r="5" spans="1:51" ht="18.75" customHeight="1" x14ac:dyDescent="0.15">
      <c r="A5" s="20" t="s">
        <v>389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AE5" s="438"/>
      <c r="AF5" s="438"/>
      <c r="AG5" s="438"/>
      <c r="AH5" s="438"/>
      <c r="AI5" s="438"/>
      <c r="AJ5" s="438"/>
      <c r="AK5" s="438"/>
      <c r="AL5" s="527" t="s">
        <v>128</v>
      </c>
      <c r="AM5" s="527"/>
      <c r="AN5" s="527" t="s">
        <v>411</v>
      </c>
      <c r="AO5" s="527"/>
      <c r="AP5" s="527"/>
      <c r="AQ5" s="527"/>
      <c r="AR5" s="28"/>
      <c r="AS5" s="28"/>
      <c r="AT5" s="28"/>
    </row>
    <row r="6" spans="1:51" ht="18.75" customHeight="1" x14ac:dyDescent="0.15">
      <c r="A6" s="20" t="s">
        <v>390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AE6" s="438" t="s">
        <v>6</v>
      </c>
      <c r="AF6" s="438"/>
      <c r="AG6" s="438"/>
      <c r="AH6" s="438"/>
      <c r="AI6" s="438" t="s">
        <v>4</v>
      </c>
      <c r="AJ6" s="438"/>
      <c r="AK6" s="438"/>
      <c r="AL6" s="525">
        <v>0.9</v>
      </c>
      <c r="AM6" s="525"/>
      <c r="AN6" s="526">
        <f>データ入力!M28</f>
        <v>0</v>
      </c>
      <c r="AO6" s="526"/>
      <c r="AP6" s="528">
        <f t="shared" ref="AP6:AP24" si="0">SUM(AL6*AN6)</f>
        <v>0</v>
      </c>
      <c r="AQ6" s="528"/>
      <c r="AR6" s="76"/>
      <c r="AS6" s="76"/>
      <c r="AT6" s="76"/>
      <c r="AW6" s="40"/>
    </row>
    <row r="7" spans="1:51" ht="18.75" customHeight="1" x14ac:dyDescent="0.1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AE7" s="438"/>
      <c r="AF7" s="438"/>
      <c r="AG7" s="438"/>
      <c r="AH7" s="438"/>
      <c r="AI7" s="438" t="s">
        <v>5</v>
      </c>
      <c r="AJ7" s="438"/>
      <c r="AK7" s="438"/>
      <c r="AL7" s="525">
        <v>0.6</v>
      </c>
      <c r="AM7" s="525"/>
      <c r="AN7" s="526">
        <f>データ入力!M29</f>
        <v>0</v>
      </c>
      <c r="AO7" s="526"/>
      <c r="AP7" s="528">
        <f t="shared" si="0"/>
        <v>0</v>
      </c>
      <c r="AQ7" s="528"/>
      <c r="AR7" s="76"/>
      <c r="AS7" s="76"/>
      <c r="AT7" s="76"/>
      <c r="AW7" s="40"/>
    </row>
    <row r="8" spans="1:51" ht="18.75" customHeight="1" x14ac:dyDescent="0.1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AE8" s="438" t="s">
        <v>31</v>
      </c>
      <c r="AF8" s="438"/>
      <c r="AG8" s="438"/>
      <c r="AH8" s="438"/>
      <c r="AI8" s="438" t="s">
        <v>32</v>
      </c>
      <c r="AJ8" s="438"/>
      <c r="AK8" s="438"/>
      <c r="AL8" s="525">
        <v>0.6</v>
      </c>
      <c r="AM8" s="525"/>
      <c r="AN8" s="526">
        <f>データ入力!M30</f>
        <v>0</v>
      </c>
      <c r="AO8" s="526"/>
      <c r="AP8" s="528">
        <f t="shared" si="0"/>
        <v>0</v>
      </c>
      <c r="AQ8" s="528"/>
      <c r="AR8" s="76"/>
      <c r="AS8" s="76"/>
      <c r="AT8" s="76"/>
      <c r="AW8" s="6"/>
    </row>
    <row r="9" spans="1:51" ht="18.75" customHeight="1" x14ac:dyDescent="0.15">
      <c r="A9" s="24"/>
      <c r="B9" s="69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69"/>
      <c r="R9" s="24"/>
      <c r="S9" s="24"/>
      <c r="T9" s="24"/>
      <c r="U9" s="70"/>
      <c r="V9" s="67"/>
      <c r="W9" s="67"/>
      <c r="X9" s="67"/>
      <c r="Y9" s="67"/>
      <c r="Z9" s="7"/>
      <c r="AA9" s="7"/>
      <c r="AB9" s="7"/>
      <c r="AC9" s="7"/>
      <c r="AE9" s="438"/>
      <c r="AF9" s="438"/>
      <c r="AG9" s="438"/>
      <c r="AH9" s="438"/>
      <c r="AI9" s="438" t="s">
        <v>33</v>
      </c>
      <c r="AJ9" s="438"/>
      <c r="AK9" s="438"/>
      <c r="AL9" s="525">
        <v>0.8</v>
      </c>
      <c r="AM9" s="525"/>
      <c r="AN9" s="526">
        <f>データ入力!M31</f>
        <v>0</v>
      </c>
      <c r="AO9" s="526"/>
      <c r="AP9" s="528">
        <f t="shared" si="0"/>
        <v>0</v>
      </c>
      <c r="AQ9" s="528"/>
      <c r="AR9" s="76"/>
      <c r="AS9" s="76"/>
      <c r="AT9" s="76"/>
      <c r="AU9" s="7"/>
      <c r="AV9" s="7"/>
      <c r="AW9" s="40"/>
    </row>
    <row r="10" spans="1:51" ht="18.75" customHeight="1" x14ac:dyDescent="0.15">
      <c r="A10" s="24"/>
      <c r="B10" s="69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69"/>
      <c r="R10" s="24"/>
      <c r="S10" s="24"/>
      <c r="T10" s="24"/>
      <c r="U10" s="70"/>
      <c r="V10" s="67"/>
      <c r="W10" s="67"/>
      <c r="X10" s="67"/>
      <c r="Y10" s="67"/>
      <c r="Z10" s="7"/>
      <c r="AA10" s="7"/>
      <c r="AB10" s="7"/>
      <c r="AC10" s="7"/>
      <c r="AE10" s="438" t="s">
        <v>7</v>
      </c>
      <c r="AF10" s="438"/>
      <c r="AG10" s="438"/>
      <c r="AH10" s="438"/>
      <c r="AI10" s="438" t="s">
        <v>8</v>
      </c>
      <c r="AJ10" s="438"/>
      <c r="AK10" s="438"/>
      <c r="AL10" s="525">
        <v>0.6</v>
      </c>
      <c r="AM10" s="525"/>
      <c r="AN10" s="526">
        <f>データ入力!M32</f>
        <v>0</v>
      </c>
      <c r="AO10" s="526"/>
      <c r="AP10" s="528">
        <f t="shared" si="0"/>
        <v>0</v>
      </c>
      <c r="AQ10" s="528"/>
      <c r="AR10" s="76"/>
      <c r="AS10" s="76"/>
      <c r="AT10" s="76"/>
      <c r="AU10" s="7"/>
      <c r="AV10" s="7"/>
      <c r="AW10" s="40"/>
    </row>
    <row r="11" spans="1:51" ht="18.75" customHeight="1" x14ac:dyDescent="0.15">
      <c r="A11" s="24"/>
      <c r="B11" s="6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69"/>
      <c r="R11" s="24"/>
      <c r="S11" s="24"/>
      <c r="T11" s="24"/>
      <c r="U11" s="70"/>
      <c r="V11" s="67"/>
      <c r="W11" s="69"/>
      <c r="X11" s="67"/>
      <c r="Y11" s="67"/>
      <c r="Z11" s="7"/>
      <c r="AA11" s="7"/>
      <c r="AB11" s="7"/>
      <c r="AC11" s="7"/>
      <c r="AE11" s="438"/>
      <c r="AF11" s="438"/>
      <c r="AG11" s="438"/>
      <c r="AH11" s="438"/>
      <c r="AI11" s="438" t="s">
        <v>9</v>
      </c>
      <c r="AJ11" s="438"/>
      <c r="AK11" s="438"/>
      <c r="AL11" s="525">
        <v>0.8</v>
      </c>
      <c r="AM11" s="525"/>
      <c r="AN11" s="526">
        <f>データ入力!M33</f>
        <v>0</v>
      </c>
      <c r="AO11" s="526"/>
      <c r="AP11" s="528">
        <f t="shared" si="0"/>
        <v>0</v>
      </c>
      <c r="AQ11" s="528"/>
      <c r="AR11" s="76"/>
      <c r="AS11" s="76"/>
      <c r="AT11" s="76"/>
      <c r="AU11" s="7"/>
      <c r="AV11" s="7"/>
    </row>
    <row r="12" spans="1:51" ht="18.75" customHeight="1" x14ac:dyDescent="0.15">
      <c r="A12" s="24"/>
      <c r="B12" s="69"/>
      <c r="C12" s="24"/>
      <c r="D12" s="24"/>
      <c r="E12" s="24"/>
      <c r="F12" s="24"/>
      <c r="G12" s="24"/>
      <c r="H12" s="24"/>
      <c r="I12" s="17"/>
      <c r="J12" s="24"/>
      <c r="K12" s="24"/>
      <c r="L12" s="24"/>
      <c r="M12" s="24"/>
      <c r="N12" s="24"/>
      <c r="O12" s="24"/>
      <c r="P12" s="24"/>
      <c r="Q12" s="69"/>
      <c r="R12" s="24"/>
      <c r="S12" s="24"/>
      <c r="T12" s="70"/>
      <c r="U12" s="70"/>
      <c r="V12" s="67"/>
      <c r="W12" s="69"/>
      <c r="X12" s="67"/>
      <c r="Y12" s="67"/>
      <c r="Z12" s="7"/>
      <c r="AA12" s="7"/>
      <c r="AB12" s="7"/>
      <c r="AC12" s="7"/>
      <c r="AE12" s="438" t="s">
        <v>10</v>
      </c>
      <c r="AF12" s="438"/>
      <c r="AG12" s="438"/>
      <c r="AH12" s="438"/>
      <c r="AI12" s="438" t="s">
        <v>11</v>
      </c>
      <c r="AJ12" s="438"/>
      <c r="AK12" s="438"/>
      <c r="AL12" s="525">
        <v>0.1</v>
      </c>
      <c r="AM12" s="525"/>
      <c r="AN12" s="526">
        <f>データ入力!M34</f>
        <v>0</v>
      </c>
      <c r="AO12" s="526"/>
      <c r="AP12" s="528">
        <f t="shared" si="0"/>
        <v>0</v>
      </c>
      <c r="AQ12" s="528"/>
      <c r="AR12" s="76"/>
      <c r="AS12" s="76"/>
      <c r="AT12" s="76"/>
      <c r="AU12" s="7"/>
      <c r="AV12" s="7"/>
    </row>
    <row r="13" spans="1:51" ht="18.75" customHeight="1" x14ac:dyDescent="0.15">
      <c r="A13" s="24"/>
      <c r="B13" s="69"/>
      <c r="C13" s="24"/>
      <c r="D13" s="24"/>
      <c r="E13" s="24"/>
      <c r="F13" s="24"/>
      <c r="G13" s="24"/>
      <c r="H13" s="24"/>
      <c r="I13" s="17"/>
      <c r="J13" s="24"/>
      <c r="K13" s="70"/>
      <c r="L13" s="70"/>
      <c r="M13" s="70"/>
      <c r="N13" s="24"/>
      <c r="O13" s="24"/>
      <c r="P13" s="24"/>
      <c r="Q13" s="69"/>
      <c r="R13" s="24"/>
      <c r="S13" s="24"/>
      <c r="T13" s="70"/>
      <c r="U13" s="70"/>
      <c r="V13" s="67"/>
      <c r="W13" s="69"/>
      <c r="X13" s="67"/>
      <c r="Y13" s="67"/>
      <c r="Z13" s="7"/>
      <c r="AA13" s="7"/>
      <c r="AB13" s="7"/>
      <c r="AC13" s="7"/>
      <c r="AE13" s="438"/>
      <c r="AF13" s="438"/>
      <c r="AG13" s="438"/>
      <c r="AH13" s="438"/>
      <c r="AI13" s="438" t="s">
        <v>12</v>
      </c>
      <c r="AJ13" s="438"/>
      <c r="AK13" s="438"/>
      <c r="AL13" s="525">
        <v>0.15</v>
      </c>
      <c r="AM13" s="525"/>
      <c r="AN13" s="526">
        <f>データ入力!M35</f>
        <v>0</v>
      </c>
      <c r="AO13" s="526"/>
      <c r="AP13" s="528">
        <f t="shared" si="0"/>
        <v>0</v>
      </c>
      <c r="AQ13" s="528"/>
      <c r="AR13" s="76"/>
      <c r="AS13" s="76"/>
      <c r="AT13" s="76"/>
      <c r="AU13" s="7"/>
      <c r="AV13" s="7"/>
    </row>
    <row r="14" spans="1:51" ht="18.75" customHeight="1" x14ac:dyDescent="0.1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70"/>
      <c r="L14" s="70"/>
      <c r="M14" s="70"/>
      <c r="N14" s="24"/>
      <c r="O14" s="24"/>
      <c r="P14" s="24"/>
      <c r="Q14" s="24"/>
      <c r="R14" s="24"/>
      <c r="S14" s="24"/>
      <c r="T14" s="24"/>
      <c r="U14" s="70"/>
      <c r="V14" s="67"/>
      <c r="W14" s="67"/>
      <c r="X14" s="67"/>
      <c r="Y14" s="67"/>
      <c r="Z14" s="7"/>
      <c r="AA14" s="7"/>
      <c r="AB14" s="7"/>
      <c r="AC14" s="7"/>
      <c r="AE14" s="438"/>
      <c r="AF14" s="438"/>
      <c r="AG14" s="438"/>
      <c r="AH14" s="438"/>
      <c r="AI14" s="438" t="s">
        <v>13</v>
      </c>
      <c r="AJ14" s="438"/>
      <c r="AK14" s="438"/>
      <c r="AL14" s="525">
        <v>0.2</v>
      </c>
      <c r="AM14" s="525"/>
      <c r="AN14" s="526">
        <f>データ入力!M36</f>
        <v>0</v>
      </c>
      <c r="AO14" s="526"/>
      <c r="AP14" s="528">
        <f t="shared" si="0"/>
        <v>0</v>
      </c>
      <c r="AQ14" s="528"/>
      <c r="AR14" s="76"/>
      <c r="AS14" s="76"/>
      <c r="AT14" s="76"/>
      <c r="AU14" s="7"/>
      <c r="AV14" s="7"/>
    </row>
    <row r="15" spans="1:51" ht="18.75" customHeight="1" x14ac:dyDescent="0.15">
      <c r="A15" s="24"/>
      <c r="B15" s="24"/>
      <c r="C15" s="115"/>
      <c r="D15" s="115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70"/>
      <c r="V15" s="67"/>
      <c r="W15" s="67"/>
      <c r="X15" s="67"/>
      <c r="Y15" s="67"/>
      <c r="Z15" s="7"/>
      <c r="AA15" s="7"/>
      <c r="AB15" s="7"/>
      <c r="AC15" s="7"/>
      <c r="AE15" s="438" t="s">
        <v>14</v>
      </c>
      <c r="AF15" s="438"/>
      <c r="AG15" s="438"/>
      <c r="AH15" s="438"/>
      <c r="AI15" s="438" t="s">
        <v>11</v>
      </c>
      <c r="AJ15" s="438"/>
      <c r="AK15" s="438"/>
      <c r="AL15" s="525">
        <v>0.15</v>
      </c>
      <c r="AM15" s="525"/>
      <c r="AN15" s="526">
        <f>データ入力!M37</f>
        <v>0</v>
      </c>
      <c r="AO15" s="526"/>
      <c r="AP15" s="528">
        <f t="shared" si="0"/>
        <v>0</v>
      </c>
      <c r="AQ15" s="528"/>
      <c r="AR15" s="76"/>
      <c r="AS15" s="76"/>
      <c r="AT15" s="76"/>
      <c r="AU15" s="7"/>
      <c r="AV15" s="7"/>
    </row>
    <row r="16" spans="1:51" ht="18.75" customHeight="1" x14ac:dyDescent="0.15">
      <c r="A16" s="24"/>
      <c r="B16" s="24"/>
      <c r="C16" s="115"/>
      <c r="D16" s="115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70"/>
      <c r="V16" s="67"/>
      <c r="W16" s="67"/>
      <c r="X16" s="67"/>
      <c r="Y16" s="67"/>
      <c r="Z16" s="7"/>
      <c r="AA16" s="7"/>
      <c r="AB16" s="7"/>
      <c r="AC16" s="7"/>
      <c r="AE16" s="438"/>
      <c r="AF16" s="438"/>
      <c r="AG16" s="438"/>
      <c r="AH16" s="438"/>
      <c r="AI16" s="438" t="s">
        <v>12</v>
      </c>
      <c r="AJ16" s="438"/>
      <c r="AK16" s="438"/>
      <c r="AL16" s="525">
        <v>0.2</v>
      </c>
      <c r="AM16" s="525"/>
      <c r="AN16" s="526">
        <f>データ入力!M38</f>
        <v>0</v>
      </c>
      <c r="AO16" s="526"/>
      <c r="AP16" s="528">
        <f t="shared" si="0"/>
        <v>0</v>
      </c>
      <c r="AQ16" s="528"/>
      <c r="AR16" s="76"/>
      <c r="AS16" s="76"/>
      <c r="AT16" s="76"/>
      <c r="AU16" s="7"/>
      <c r="AV16" s="7"/>
      <c r="AX16" s="497"/>
      <c r="AY16" s="497"/>
    </row>
    <row r="17" spans="1:48" ht="18.75" customHeight="1" x14ac:dyDescent="0.15">
      <c r="A17" s="24"/>
      <c r="B17" s="24"/>
      <c r="C17" s="115"/>
      <c r="D17" s="115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70"/>
      <c r="V17" s="67"/>
      <c r="W17" s="67"/>
      <c r="X17" s="67"/>
      <c r="Y17" s="67"/>
      <c r="Z17" s="7"/>
      <c r="AA17" s="7"/>
      <c r="AB17" s="7"/>
      <c r="AC17" s="7"/>
      <c r="AE17" s="438"/>
      <c r="AF17" s="438"/>
      <c r="AG17" s="438"/>
      <c r="AH17" s="438"/>
      <c r="AI17" s="438" t="s">
        <v>13</v>
      </c>
      <c r="AJ17" s="438"/>
      <c r="AK17" s="438"/>
      <c r="AL17" s="525">
        <v>0.3</v>
      </c>
      <c r="AM17" s="525"/>
      <c r="AN17" s="526">
        <f>データ入力!M39</f>
        <v>0</v>
      </c>
      <c r="AO17" s="526"/>
      <c r="AP17" s="528">
        <f t="shared" si="0"/>
        <v>0</v>
      </c>
      <c r="AQ17" s="528"/>
      <c r="AR17" s="76"/>
      <c r="AS17" s="76"/>
      <c r="AT17" s="76"/>
      <c r="AU17" s="7"/>
      <c r="AV17" s="7"/>
    </row>
    <row r="18" spans="1:48" ht="18.75" customHeight="1" x14ac:dyDescent="0.15">
      <c r="A18" s="68"/>
      <c r="B18" s="68"/>
      <c r="C18" s="68"/>
      <c r="D18" s="68"/>
      <c r="E18" s="68"/>
      <c r="F18" s="68"/>
      <c r="G18" s="68"/>
      <c r="H18" s="68"/>
      <c r="I18" s="71"/>
      <c r="J18" s="71"/>
      <c r="K18" s="68"/>
      <c r="L18" s="68"/>
      <c r="M18" s="68"/>
      <c r="N18" s="68"/>
      <c r="O18" s="68"/>
      <c r="P18" s="68"/>
      <c r="Q18" s="68"/>
      <c r="R18" s="68"/>
      <c r="S18" s="24"/>
      <c r="T18" s="70"/>
      <c r="U18" s="70"/>
      <c r="V18" s="67"/>
      <c r="W18" s="67"/>
      <c r="X18" s="67"/>
      <c r="Y18" s="67"/>
      <c r="Z18" s="7"/>
      <c r="AA18" s="7"/>
      <c r="AB18" s="7"/>
      <c r="AC18" s="7"/>
      <c r="AE18" s="438" t="s">
        <v>15</v>
      </c>
      <c r="AF18" s="438"/>
      <c r="AG18" s="438"/>
      <c r="AH18" s="438"/>
      <c r="AI18" s="438"/>
      <c r="AJ18" s="438"/>
      <c r="AK18" s="438"/>
      <c r="AL18" s="525">
        <v>0.9</v>
      </c>
      <c r="AM18" s="525"/>
      <c r="AN18" s="526">
        <f>データ入力!M40</f>
        <v>0</v>
      </c>
      <c r="AO18" s="526"/>
      <c r="AP18" s="528">
        <f>SUM(AL18*AN18)</f>
        <v>0</v>
      </c>
      <c r="AQ18" s="528"/>
      <c r="AR18" s="76"/>
      <c r="AS18" s="76"/>
      <c r="AT18" s="76"/>
      <c r="AU18" s="7"/>
      <c r="AV18" s="7"/>
    </row>
    <row r="19" spans="1:48" ht="18.75" customHeight="1" x14ac:dyDescent="0.1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24"/>
      <c r="T19" s="70"/>
      <c r="U19" s="70"/>
      <c r="V19" s="67"/>
      <c r="W19" s="67"/>
      <c r="X19" s="67"/>
      <c r="Y19" s="67"/>
      <c r="Z19" s="7"/>
      <c r="AA19" s="7"/>
      <c r="AB19" s="7"/>
      <c r="AC19" s="7"/>
      <c r="AE19" s="438" t="s">
        <v>16</v>
      </c>
      <c r="AF19" s="438"/>
      <c r="AG19" s="438"/>
      <c r="AH19" s="438"/>
      <c r="AI19" s="438"/>
      <c r="AJ19" s="438"/>
      <c r="AK19" s="438"/>
      <c r="AL19" s="525">
        <v>0.3</v>
      </c>
      <c r="AM19" s="525"/>
      <c r="AN19" s="526">
        <f>データ入力!M41</f>
        <v>0</v>
      </c>
      <c r="AO19" s="526"/>
      <c r="AP19" s="528">
        <f t="shared" si="0"/>
        <v>0</v>
      </c>
      <c r="AQ19" s="528"/>
      <c r="AR19" s="76"/>
      <c r="AS19" s="76"/>
      <c r="AT19" s="76"/>
      <c r="AU19" s="7"/>
      <c r="AV19" s="7"/>
    </row>
    <row r="20" spans="1:48" ht="18.75" customHeight="1" x14ac:dyDescent="0.1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70"/>
      <c r="V20" s="67"/>
      <c r="W20" s="67"/>
      <c r="X20" s="67"/>
      <c r="Y20" s="67"/>
      <c r="Z20" s="7"/>
      <c r="AA20" s="7"/>
      <c r="AB20" s="7"/>
      <c r="AC20" s="7"/>
      <c r="AE20" s="438" t="s">
        <v>17</v>
      </c>
      <c r="AF20" s="438"/>
      <c r="AG20" s="438"/>
      <c r="AH20" s="438"/>
      <c r="AI20" s="438"/>
      <c r="AJ20" s="438"/>
      <c r="AK20" s="438"/>
      <c r="AL20" s="525">
        <v>0.2</v>
      </c>
      <c r="AM20" s="525"/>
      <c r="AN20" s="526">
        <f>データ入力!M42</f>
        <v>0</v>
      </c>
      <c r="AO20" s="526"/>
      <c r="AP20" s="528">
        <f t="shared" si="0"/>
        <v>0</v>
      </c>
      <c r="AQ20" s="528"/>
      <c r="AR20" s="76"/>
      <c r="AS20" s="76"/>
      <c r="AT20" s="76"/>
      <c r="AU20" s="7"/>
      <c r="AV20" s="7"/>
    </row>
    <row r="21" spans="1:48" ht="18.75" customHeight="1" x14ac:dyDescent="0.15">
      <c r="A21" s="24"/>
      <c r="B21" s="24"/>
      <c r="C21" s="24"/>
      <c r="D21" s="24"/>
      <c r="E21" s="24"/>
      <c r="F21" s="24"/>
      <c r="G21" s="24"/>
      <c r="H21" s="24"/>
      <c r="I21" s="62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AE21" s="438" t="s">
        <v>18</v>
      </c>
      <c r="AF21" s="438"/>
      <c r="AG21" s="438"/>
      <c r="AH21" s="438"/>
      <c r="AI21" s="438"/>
      <c r="AJ21" s="438"/>
      <c r="AK21" s="438"/>
      <c r="AL21" s="525">
        <v>0.3</v>
      </c>
      <c r="AM21" s="525"/>
      <c r="AN21" s="526">
        <f>データ入力!M43</f>
        <v>0</v>
      </c>
      <c r="AO21" s="526"/>
      <c r="AP21" s="528">
        <f t="shared" si="0"/>
        <v>0</v>
      </c>
      <c r="AQ21" s="528"/>
      <c r="AR21" s="76"/>
      <c r="AS21" s="76"/>
      <c r="AT21" s="76"/>
    </row>
    <row r="22" spans="1:48" ht="18.75" customHeight="1" x14ac:dyDescent="0.15">
      <c r="A22" s="24"/>
      <c r="B22" s="24"/>
      <c r="C22" s="24"/>
      <c r="D22" s="24"/>
      <c r="E22" s="24"/>
      <c r="F22" s="24"/>
      <c r="G22" s="24"/>
      <c r="H22" s="62"/>
      <c r="I22" s="62"/>
      <c r="J22" s="62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AE22" s="438" t="s">
        <v>19</v>
      </c>
      <c r="AF22" s="438"/>
      <c r="AG22" s="438"/>
      <c r="AH22" s="438"/>
      <c r="AI22" s="438"/>
      <c r="AJ22" s="438"/>
      <c r="AK22" s="438"/>
      <c r="AL22" s="525">
        <v>0.5</v>
      </c>
      <c r="AM22" s="525"/>
      <c r="AN22" s="526">
        <f>データ入力!M44</f>
        <v>0</v>
      </c>
      <c r="AO22" s="526"/>
      <c r="AP22" s="528">
        <f t="shared" si="0"/>
        <v>0</v>
      </c>
      <c r="AQ22" s="528"/>
      <c r="AR22" s="76"/>
      <c r="AS22" s="76"/>
      <c r="AT22" s="76"/>
    </row>
    <row r="23" spans="1:48" ht="18.75" customHeight="1" x14ac:dyDescent="0.1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AE23" s="438" t="s">
        <v>20</v>
      </c>
      <c r="AF23" s="438"/>
      <c r="AG23" s="438"/>
      <c r="AH23" s="438"/>
      <c r="AI23" s="438"/>
      <c r="AJ23" s="438"/>
      <c r="AK23" s="438"/>
      <c r="AL23" s="525">
        <v>0.8</v>
      </c>
      <c r="AM23" s="525"/>
      <c r="AN23" s="526">
        <f>データ入力!M45</f>
        <v>0</v>
      </c>
      <c r="AO23" s="526"/>
      <c r="AP23" s="528">
        <f t="shared" si="0"/>
        <v>0</v>
      </c>
      <c r="AQ23" s="528"/>
      <c r="AR23" s="76"/>
      <c r="AS23" s="76"/>
      <c r="AT23" s="76"/>
    </row>
    <row r="24" spans="1:48" ht="18.75" customHeight="1" x14ac:dyDescent="0.1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AE24" s="438" t="s">
        <v>21</v>
      </c>
      <c r="AF24" s="438"/>
      <c r="AG24" s="438"/>
      <c r="AH24" s="438"/>
      <c r="AI24" s="438"/>
      <c r="AJ24" s="438"/>
      <c r="AK24" s="438"/>
      <c r="AL24" s="525">
        <v>0.2</v>
      </c>
      <c r="AM24" s="525"/>
      <c r="AN24" s="526">
        <f>データ入力!M46</f>
        <v>0</v>
      </c>
      <c r="AO24" s="526"/>
      <c r="AP24" s="528">
        <f t="shared" si="0"/>
        <v>0</v>
      </c>
      <c r="AQ24" s="528"/>
      <c r="AR24" s="76"/>
      <c r="AS24" s="76"/>
      <c r="AT24" s="76"/>
    </row>
    <row r="25" spans="1:48" ht="18.75" customHeight="1" x14ac:dyDescent="0.15">
      <c r="A25" s="24"/>
      <c r="B25" s="10"/>
      <c r="C25" s="10"/>
      <c r="D25" s="2"/>
      <c r="E25" s="2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AE25" s="438"/>
      <c r="AF25" s="438"/>
      <c r="AG25" s="438"/>
      <c r="AH25" s="438"/>
      <c r="AI25" s="438"/>
      <c r="AJ25" s="438"/>
      <c r="AK25" s="438"/>
      <c r="AL25" s="438"/>
      <c r="AM25" s="438"/>
      <c r="AN25" s="546"/>
      <c r="AO25" s="547"/>
      <c r="AP25" s="543"/>
      <c r="AQ25" s="543"/>
      <c r="AR25" s="137"/>
      <c r="AS25" s="137"/>
      <c r="AT25" s="137"/>
    </row>
    <row r="26" spans="1:48" ht="18.75" customHeight="1" x14ac:dyDescent="0.15">
      <c r="A26" s="24"/>
      <c r="B26" s="10"/>
      <c r="C26" s="10"/>
      <c r="D26" s="10"/>
      <c r="E26" s="20"/>
      <c r="F26" s="20"/>
      <c r="G26" s="18"/>
      <c r="H26" s="10"/>
      <c r="I26" s="10"/>
      <c r="J26" s="20"/>
      <c r="K26" s="20"/>
      <c r="L26" s="20"/>
      <c r="M26" s="18"/>
      <c r="N26" s="10"/>
      <c r="O26" s="10"/>
      <c r="P26" s="20"/>
      <c r="Q26" s="20"/>
      <c r="R26" s="20"/>
      <c r="S26" s="18"/>
      <c r="T26" s="24"/>
      <c r="U26" s="20"/>
      <c r="V26" s="20"/>
      <c r="W26" s="20"/>
      <c r="X26" s="20"/>
      <c r="Y26" s="24"/>
      <c r="AE26" s="438" t="s">
        <v>22</v>
      </c>
      <c r="AF26" s="438"/>
      <c r="AG26" s="438"/>
      <c r="AH26" s="438"/>
      <c r="AI26" s="438"/>
      <c r="AJ26" s="438"/>
      <c r="AK26" s="438"/>
      <c r="AL26" s="438"/>
      <c r="AM26" s="438"/>
      <c r="AN26" s="554">
        <f>SUM(AN6:AO25)</f>
        <v>0</v>
      </c>
      <c r="AO26" s="555"/>
      <c r="AP26" s="544">
        <f>SUM(AP6:AQ25)</f>
        <v>0</v>
      </c>
      <c r="AQ26" s="545"/>
      <c r="AR26" s="76"/>
      <c r="AS26" s="76"/>
      <c r="AT26" s="76"/>
    </row>
    <row r="27" spans="1:48" ht="18.75" customHeight="1" x14ac:dyDescent="0.15">
      <c r="A27" s="24"/>
      <c r="B27" s="10"/>
      <c r="C27" s="10"/>
      <c r="D27" s="10"/>
      <c r="E27" s="20"/>
      <c r="F27" s="20"/>
      <c r="G27" s="18"/>
      <c r="H27" s="10"/>
      <c r="I27" s="10"/>
      <c r="J27" s="20"/>
      <c r="K27" s="20"/>
      <c r="L27" s="20"/>
      <c r="M27" s="18"/>
      <c r="N27" s="10"/>
      <c r="O27" s="10"/>
      <c r="P27" s="20"/>
      <c r="Q27" s="20"/>
      <c r="R27" s="20"/>
      <c r="S27" s="18"/>
      <c r="T27" s="24"/>
      <c r="U27" s="20"/>
      <c r="V27" s="20"/>
      <c r="W27" s="20"/>
      <c r="X27" s="20"/>
      <c r="Y27" s="24"/>
      <c r="AH27" s="441"/>
      <c r="AI27" s="441"/>
      <c r="AJ27" s="441"/>
      <c r="AK27" s="441"/>
      <c r="AL27" s="441"/>
      <c r="AM27" s="441"/>
      <c r="AN27" s="441"/>
      <c r="AO27" s="441"/>
      <c r="AP27" s="441"/>
      <c r="AQ27" s="441"/>
      <c r="AR27" s="41"/>
      <c r="AS27" s="41"/>
      <c r="AT27" s="41"/>
    </row>
    <row r="28" spans="1:48" ht="18.75" customHeight="1" x14ac:dyDescent="0.1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AE28" s="443" t="s">
        <v>24</v>
      </c>
      <c r="AF28" s="443"/>
      <c r="AG28" s="443"/>
      <c r="AH28" s="443"/>
      <c r="AI28" s="443"/>
      <c r="AJ28" s="138" t="s">
        <v>126</v>
      </c>
      <c r="AK28" s="29"/>
      <c r="AL28" s="29"/>
      <c r="AM28" s="350" t="s">
        <v>23</v>
      </c>
      <c r="AN28" s="396"/>
      <c r="AO28" s="350"/>
      <c r="AP28" s="529" t="e">
        <f>ROUND(AP26/AN26,2)</f>
        <v>#DIV/0!</v>
      </c>
      <c r="AQ28" s="530"/>
    </row>
    <row r="29" spans="1:48" ht="18.75" customHeight="1" x14ac:dyDescent="0.15">
      <c r="A29" s="550" t="s">
        <v>124</v>
      </c>
      <c r="B29" s="550"/>
      <c r="C29" s="550"/>
      <c r="D29" s="550"/>
      <c r="E29" s="550"/>
      <c r="F29" s="550"/>
      <c r="G29" s="550"/>
      <c r="H29" s="135"/>
      <c r="I29" s="62"/>
      <c r="J29" s="62"/>
      <c r="K29" s="62"/>
      <c r="L29" s="24"/>
      <c r="M29" s="62"/>
      <c r="N29" s="62"/>
      <c r="O29" s="62"/>
      <c r="P29" s="24"/>
      <c r="Q29" s="24"/>
      <c r="R29" s="62"/>
      <c r="S29" s="62"/>
      <c r="T29" s="62"/>
      <c r="U29" s="24"/>
      <c r="V29" s="40"/>
      <c r="W29" s="40"/>
      <c r="X29" s="40"/>
      <c r="Y29" s="40"/>
      <c r="Z29" s="40"/>
      <c r="AA29" s="40"/>
      <c r="AB29" s="40"/>
      <c r="AC29" s="40"/>
      <c r="AE29" s="443"/>
      <c r="AF29" s="443"/>
      <c r="AG29" s="443"/>
      <c r="AH29" s="443"/>
      <c r="AI29" s="443"/>
      <c r="AJ29" s="139" t="s">
        <v>127</v>
      </c>
      <c r="AK29" s="29"/>
      <c r="AL29" s="29"/>
      <c r="AM29" s="351"/>
      <c r="AN29" s="358"/>
      <c r="AO29" s="351"/>
      <c r="AP29" s="531"/>
      <c r="AQ29" s="532"/>
      <c r="AU29" s="40"/>
      <c r="AV29" s="40"/>
    </row>
    <row r="30" spans="1:48" ht="18.75" customHeight="1" x14ac:dyDescent="0.15">
      <c r="A30" s="2"/>
      <c r="B30" s="72" t="s">
        <v>106</v>
      </c>
      <c r="C30" s="135"/>
      <c r="D30" s="135"/>
      <c r="E30" s="135"/>
      <c r="F30" s="135"/>
      <c r="G30" s="135"/>
      <c r="H30" s="136"/>
      <c r="I30" s="20" t="s">
        <v>107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40"/>
      <c r="W30" s="140"/>
      <c r="X30" s="40"/>
      <c r="Y30" s="40"/>
      <c r="Z30" s="40"/>
      <c r="AA30" s="40"/>
      <c r="AB30" s="40"/>
      <c r="AC30" s="40"/>
      <c r="AG30" s="29"/>
      <c r="AH30" s="141"/>
      <c r="AI30" s="29"/>
      <c r="AJ30" s="29"/>
      <c r="AK30" s="29"/>
      <c r="AL30" s="29"/>
      <c r="AM30" s="453" t="s">
        <v>426</v>
      </c>
      <c r="AN30" s="453"/>
      <c r="AO30" s="453"/>
      <c r="AP30" s="453"/>
      <c r="AU30" s="40"/>
      <c r="AV30" s="40"/>
    </row>
    <row r="31" spans="1:48" ht="18.75" customHeight="1" x14ac:dyDescent="0.15">
      <c r="A31" s="2"/>
      <c r="B31" s="10"/>
      <c r="C31" s="9"/>
      <c r="D31" s="9"/>
      <c r="E31" s="10"/>
      <c r="F31" s="10"/>
      <c r="G31" s="10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40"/>
      <c r="W31" s="140"/>
      <c r="X31" s="40"/>
      <c r="Y31" s="40"/>
      <c r="Z31" s="40"/>
      <c r="AA31" s="40"/>
      <c r="AB31" s="40"/>
      <c r="AC31" s="40"/>
      <c r="AG31" s="29"/>
      <c r="AH31" s="141"/>
      <c r="AI31" s="29"/>
      <c r="AJ31" s="29"/>
      <c r="AK31" s="29"/>
      <c r="AL31" s="29"/>
      <c r="AM31" s="29"/>
      <c r="AN31" s="29"/>
      <c r="AO31" s="29"/>
      <c r="AP31" s="29"/>
      <c r="AU31" s="40"/>
      <c r="AV31" s="40"/>
    </row>
    <row r="32" spans="1:48" ht="18.75" customHeight="1" x14ac:dyDescent="0.15">
      <c r="A32" s="24"/>
      <c r="B32" s="10"/>
      <c r="C32" s="549" t="s">
        <v>108</v>
      </c>
      <c r="D32" s="549"/>
      <c r="E32" s="549"/>
      <c r="F32" s="549"/>
      <c r="G32" s="20" t="s">
        <v>130</v>
      </c>
      <c r="H32" s="551">
        <f>データ入力!D20</f>
        <v>0</v>
      </c>
      <c r="I32" s="552"/>
      <c r="J32" s="20" t="s">
        <v>113</v>
      </c>
      <c r="K32" s="20"/>
      <c r="L32" s="20"/>
      <c r="M32" s="20" t="s">
        <v>109</v>
      </c>
      <c r="N32" s="19"/>
      <c r="O32" s="549" t="s">
        <v>114</v>
      </c>
      <c r="P32" s="549"/>
      <c r="Q32" s="142">
        <f>データ入力!D29</f>
        <v>0</v>
      </c>
      <c r="R32" s="20"/>
      <c r="S32" s="20"/>
      <c r="T32" s="20" t="s">
        <v>110</v>
      </c>
      <c r="U32" s="20"/>
      <c r="V32" s="143">
        <v>100</v>
      </c>
      <c r="W32" s="143" t="s">
        <v>131</v>
      </c>
      <c r="X32" s="40"/>
      <c r="Y32" s="40"/>
      <c r="Z32" s="553" t="s">
        <v>123</v>
      </c>
      <c r="AA32" s="553"/>
      <c r="AB32" s="553"/>
      <c r="AC32" s="553"/>
      <c r="AD32" s="553"/>
      <c r="AE32" s="553"/>
      <c r="AG32" s="29"/>
      <c r="AH32" s="141"/>
      <c r="AI32" s="29"/>
      <c r="AJ32" s="29"/>
      <c r="AK32" s="29"/>
      <c r="AL32" s="29"/>
      <c r="AM32" s="29"/>
      <c r="AN32" s="29"/>
      <c r="AO32" s="29"/>
      <c r="AP32" s="29"/>
      <c r="AU32" s="40"/>
      <c r="AV32" s="40"/>
    </row>
    <row r="33" spans="1:48" ht="18.75" customHeight="1" x14ac:dyDescent="0.15">
      <c r="A33" s="24"/>
      <c r="B33" s="24"/>
      <c r="C33" s="11"/>
      <c r="D33" s="11"/>
      <c r="E33" s="11"/>
      <c r="F33" s="12"/>
      <c r="G33" s="12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9"/>
      <c r="S33" s="9"/>
      <c r="T33" s="9"/>
      <c r="U33" s="9"/>
      <c r="V33" s="140"/>
      <c r="W33" s="140"/>
      <c r="X33" s="40"/>
      <c r="Y33" s="40"/>
      <c r="Z33" s="40"/>
      <c r="AA33" s="40"/>
      <c r="AB33" s="40"/>
      <c r="AC33" s="40"/>
      <c r="AF33" s="541" t="s">
        <v>25</v>
      </c>
      <c r="AG33" s="541"/>
      <c r="AH33" s="542">
        <v>1</v>
      </c>
      <c r="AI33" s="542"/>
      <c r="AJ33" s="541" t="s">
        <v>35</v>
      </c>
      <c r="AK33" s="541" t="s">
        <v>36</v>
      </c>
      <c r="AL33" s="541"/>
      <c r="AM33" s="541" t="s">
        <v>37</v>
      </c>
      <c r="AN33" s="541"/>
      <c r="AU33" s="40"/>
      <c r="AV33" s="40"/>
    </row>
    <row r="34" spans="1:48" ht="18.75" customHeight="1" x14ac:dyDescent="0.15">
      <c r="A34" s="24"/>
      <c r="B34" s="72" t="s">
        <v>137</v>
      </c>
      <c r="C34" s="135"/>
      <c r="D34" s="135"/>
      <c r="E34" s="135"/>
      <c r="F34" s="135"/>
      <c r="G34" s="135"/>
      <c r="H34" s="136"/>
      <c r="I34" s="20" t="s">
        <v>107</v>
      </c>
      <c r="J34" s="9"/>
      <c r="K34" s="9"/>
      <c r="L34" s="9"/>
      <c r="M34" s="13"/>
      <c r="N34" s="13"/>
      <c r="O34" s="13"/>
      <c r="P34" s="13"/>
      <c r="Q34" s="13"/>
      <c r="R34" s="9"/>
      <c r="S34" s="9"/>
      <c r="T34" s="9"/>
      <c r="U34" s="9"/>
      <c r="V34" s="140"/>
      <c r="W34" s="140"/>
      <c r="X34" s="40"/>
      <c r="Y34" s="40"/>
      <c r="Z34" s="40"/>
      <c r="AA34" s="40"/>
      <c r="AB34" s="40"/>
      <c r="AC34" s="40"/>
      <c r="AF34" s="541"/>
      <c r="AG34" s="541"/>
      <c r="AH34" s="541">
        <v>3600000</v>
      </c>
      <c r="AI34" s="541"/>
      <c r="AJ34" s="541"/>
      <c r="AK34" s="541"/>
      <c r="AL34" s="541"/>
      <c r="AM34" s="541"/>
      <c r="AN34" s="541"/>
      <c r="AU34" s="40"/>
      <c r="AV34" s="40"/>
    </row>
    <row r="35" spans="1:48" ht="17.25" customHeight="1" x14ac:dyDescent="0.15">
      <c r="A35" s="24"/>
      <c r="B35" s="24"/>
      <c r="C35" s="62"/>
      <c r="D35" s="62"/>
      <c r="E35" s="62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40"/>
      <c r="W35" s="40"/>
      <c r="X35" s="40"/>
      <c r="Y35" s="40"/>
      <c r="AE35" s="418"/>
      <c r="AF35" s="419"/>
      <c r="AG35" s="425"/>
      <c r="AH35" s="436" t="s">
        <v>26</v>
      </c>
      <c r="AI35" s="396"/>
      <c r="AJ35" s="350" t="s">
        <v>27</v>
      </c>
      <c r="AK35" s="438" t="s">
        <v>29</v>
      </c>
      <c r="AL35" s="438"/>
      <c r="AM35" s="438" t="s">
        <v>28</v>
      </c>
      <c r="AN35" s="438"/>
      <c r="AO35" s="438" t="s">
        <v>450</v>
      </c>
      <c r="AP35" s="438"/>
      <c r="AU35" s="40"/>
      <c r="AV35" s="40"/>
    </row>
    <row r="36" spans="1:48" ht="26.25" customHeight="1" thickBot="1" x14ac:dyDescent="0.2">
      <c r="A36" s="24"/>
      <c r="B36" s="24"/>
      <c r="C36" s="565">
        <f>データ入力!D37</f>
        <v>0</v>
      </c>
      <c r="D36" s="566"/>
      <c r="E36" s="20" t="s">
        <v>111</v>
      </c>
      <c r="F36" s="548" t="s">
        <v>83</v>
      </c>
      <c r="G36" s="548"/>
      <c r="H36" s="548"/>
      <c r="I36" s="144">
        <f>データ入力!D38</f>
        <v>0</v>
      </c>
      <c r="J36" s="63" t="s">
        <v>112</v>
      </c>
      <c r="K36" s="19"/>
      <c r="L36" s="24"/>
      <c r="M36" s="20" t="s">
        <v>375</v>
      </c>
      <c r="N36" s="24"/>
      <c r="O36" s="24"/>
      <c r="P36" s="24"/>
      <c r="Q36" s="142">
        <f>データ入力!D39</f>
        <v>0</v>
      </c>
      <c r="R36" s="20" t="s">
        <v>376</v>
      </c>
      <c r="S36" s="20"/>
      <c r="T36" s="20"/>
      <c r="U36" s="9"/>
      <c r="V36" s="140"/>
      <c r="W36" s="140"/>
      <c r="X36" s="140"/>
      <c r="Y36" s="140"/>
      <c r="Z36" s="40"/>
      <c r="AA36" s="40"/>
      <c r="AB36" s="40"/>
      <c r="AC36" s="40"/>
      <c r="AE36" s="436"/>
      <c r="AF36" s="556"/>
      <c r="AG36" s="396"/>
      <c r="AH36" s="536"/>
      <c r="AI36" s="537"/>
      <c r="AJ36" s="424"/>
      <c r="AK36" s="436" t="s">
        <v>461</v>
      </c>
      <c r="AL36" s="396"/>
      <c r="AM36" s="436" t="s">
        <v>460</v>
      </c>
      <c r="AN36" s="396"/>
      <c r="AO36" s="436" t="s">
        <v>231</v>
      </c>
      <c r="AP36" s="396"/>
      <c r="AU36" s="40"/>
      <c r="AV36" s="40"/>
    </row>
    <row r="37" spans="1:48" ht="18.75" customHeight="1" thickTop="1" x14ac:dyDescent="0.15">
      <c r="B37" s="24"/>
      <c r="C37" s="24"/>
      <c r="D37" s="24"/>
      <c r="E37" s="24"/>
      <c r="F37" s="62"/>
      <c r="G37" s="62"/>
      <c r="H37" s="24"/>
      <c r="I37" s="62"/>
      <c r="J37" s="62"/>
      <c r="K37" s="62"/>
      <c r="L37" s="62"/>
      <c r="M37" s="24"/>
      <c r="N37" s="62"/>
      <c r="O37" s="62"/>
      <c r="P37" s="62"/>
      <c r="Q37" s="24"/>
      <c r="R37" s="24"/>
      <c r="S37" s="24"/>
      <c r="T37" s="24"/>
      <c r="U37" s="24"/>
      <c r="V37" s="40"/>
      <c r="W37" s="40"/>
      <c r="X37" s="40"/>
      <c r="Y37" s="40"/>
      <c r="Z37" s="40"/>
      <c r="AA37" s="40"/>
      <c r="AB37" s="40"/>
      <c r="AC37" s="40"/>
      <c r="AE37" s="559" t="s">
        <v>84</v>
      </c>
      <c r="AF37" s="560"/>
      <c r="AG37" s="561"/>
      <c r="AH37" s="538" t="s">
        <v>82</v>
      </c>
      <c r="AI37" s="538"/>
      <c r="AJ37" s="170">
        <f>データ入力!D29</f>
        <v>0</v>
      </c>
      <c r="AK37" s="558">
        <v>100</v>
      </c>
      <c r="AL37" s="558"/>
      <c r="AM37" s="540">
        <f>SUM(H32)</f>
        <v>0</v>
      </c>
      <c r="AN37" s="540"/>
      <c r="AO37" s="534">
        <f>ROUND(AJ37*AK37*AM37/3600000,5)</f>
        <v>0</v>
      </c>
      <c r="AP37" s="534"/>
      <c r="AU37" s="40"/>
      <c r="AV37" s="40"/>
    </row>
    <row r="38" spans="1:48" ht="18.75" customHeight="1" x14ac:dyDescent="0.15">
      <c r="A38" s="3"/>
      <c r="B38" s="72" t="s">
        <v>115</v>
      </c>
      <c r="C38" s="135"/>
      <c r="D38" s="135"/>
      <c r="E38" s="135"/>
      <c r="F38" s="135"/>
      <c r="G38" s="135"/>
      <c r="H38" s="136"/>
      <c r="I38" s="20" t="s">
        <v>107</v>
      </c>
      <c r="J38" s="9"/>
      <c r="K38" s="9"/>
      <c r="L38" s="9"/>
      <c r="M38" s="9"/>
      <c r="N38" s="24"/>
      <c r="O38" s="24"/>
      <c r="P38" s="24"/>
      <c r="Q38" s="24"/>
      <c r="R38" s="24"/>
      <c r="S38" s="24"/>
      <c r="T38" s="24"/>
      <c r="U38" s="24"/>
      <c r="V38" s="40"/>
      <c r="W38" s="40"/>
      <c r="X38" s="40"/>
      <c r="Y38" s="40"/>
      <c r="Z38" s="40"/>
      <c r="AA38" s="40"/>
      <c r="AB38" s="40"/>
      <c r="AC38" s="40"/>
      <c r="AE38" s="563" t="s">
        <v>99</v>
      </c>
      <c r="AF38" s="557" t="s">
        <v>6</v>
      </c>
      <c r="AG38" s="557"/>
      <c r="AH38" s="438" t="s">
        <v>103</v>
      </c>
      <c r="AI38" s="438"/>
      <c r="AJ38" s="168">
        <f>データ入力!D30</f>
        <v>0.9</v>
      </c>
      <c r="AK38" s="438">
        <v>100</v>
      </c>
      <c r="AL38" s="438"/>
      <c r="AM38" s="539">
        <f>R41</f>
        <v>0</v>
      </c>
      <c r="AN38" s="539"/>
      <c r="AO38" s="535">
        <f>ROUND(AJ38*AK38*AM38/3600000,5)</f>
        <v>0</v>
      </c>
      <c r="AP38" s="535"/>
      <c r="AU38" s="40"/>
      <c r="AV38" s="40"/>
    </row>
    <row r="39" spans="1:48" ht="18.75" customHeight="1" x14ac:dyDescent="0.15">
      <c r="A39" s="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40"/>
      <c r="W39" s="40"/>
      <c r="X39" s="40"/>
      <c r="Y39" s="40"/>
      <c r="Z39" s="40"/>
      <c r="AA39" s="40"/>
      <c r="AB39" s="40"/>
      <c r="AC39" s="40"/>
      <c r="AE39" s="563"/>
      <c r="AF39" s="557" t="s">
        <v>220</v>
      </c>
      <c r="AG39" s="557"/>
      <c r="AH39" s="351" t="s">
        <v>100</v>
      </c>
      <c r="AI39" s="351"/>
      <c r="AJ39" s="168">
        <f>データ入力!D31</f>
        <v>0.6</v>
      </c>
      <c r="AK39" s="438">
        <v>100</v>
      </c>
      <c r="AL39" s="438"/>
      <c r="AM39" s="539">
        <f>G45</f>
        <v>0</v>
      </c>
      <c r="AN39" s="539"/>
      <c r="AO39" s="535">
        <f>ROUND(AJ39*AK39*AM39/3600000,5)</f>
        <v>0</v>
      </c>
      <c r="AP39" s="535"/>
      <c r="AU39" s="40"/>
      <c r="AV39" s="40"/>
    </row>
    <row r="40" spans="1:48" ht="18.75" customHeight="1" x14ac:dyDescent="0.15">
      <c r="B40" s="24"/>
      <c r="C40" s="20" t="s">
        <v>116</v>
      </c>
      <c r="D40" s="20"/>
      <c r="E40" s="20"/>
      <c r="F40" s="20"/>
      <c r="G40" s="20"/>
      <c r="H40" s="20" t="s">
        <v>107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Z40" s="40"/>
      <c r="AA40" s="40"/>
      <c r="AB40" s="40"/>
      <c r="AC40" s="40"/>
      <c r="AE40" s="563"/>
      <c r="AF40" s="557" t="s">
        <v>221</v>
      </c>
      <c r="AG40" s="557"/>
      <c r="AH40" s="351" t="s">
        <v>222</v>
      </c>
      <c r="AI40" s="351"/>
      <c r="AJ40" s="168">
        <f>データ入力!D32</f>
        <v>0.8</v>
      </c>
      <c r="AK40" s="438">
        <v>100</v>
      </c>
      <c r="AL40" s="438"/>
      <c r="AM40" s="539">
        <f>データ入力!D24</f>
        <v>0</v>
      </c>
      <c r="AN40" s="539"/>
      <c r="AO40" s="535">
        <f>ROUND(AJ40*AK40*AM40/3600000,5)</f>
        <v>0</v>
      </c>
      <c r="AP40" s="535"/>
    </row>
    <row r="41" spans="1:48" ht="18.75" customHeight="1" thickBot="1" x14ac:dyDescent="0.2">
      <c r="B41" s="13"/>
      <c r="C41" s="548" t="s">
        <v>135</v>
      </c>
      <c r="D41" s="548"/>
      <c r="E41" s="548"/>
      <c r="F41" s="562"/>
      <c r="G41" s="191">
        <f>データ入力!D12</f>
        <v>0</v>
      </c>
      <c r="H41" s="63" t="s">
        <v>132</v>
      </c>
      <c r="I41" s="548" t="s">
        <v>136</v>
      </c>
      <c r="J41" s="548"/>
      <c r="K41" s="548"/>
      <c r="L41" s="562"/>
      <c r="M41" s="190" t="e">
        <f>データ入力!D11</f>
        <v>#DIV/0!</v>
      </c>
      <c r="N41" s="63" t="s">
        <v>132</v>
      </c>
      <c r="O41" s="19"/>
      <c r="P41" s="549" t="s">
        <v>118</v>
      </c>
      <c r="Q41" s="549"/>
      <c r="R41" s="551">
        <f>データ入力!D22</f>
        <v>0</v>
      </c>
      <c r="S41" s="593"/>
      <c r="T41" s="552"/>
      <c r="U41" s="19" t="s">
        <v>133</v>
      </c>
      <c r="V41" s="14"/>
      <c r="W41" s="14"/>
      <c r="X41" s="14"/>
      <c r="Y41" s="14"/>
      <c r="Z41" s="40"/>
      <c r="AA41" s="40"/>
      <c r="AB41" s="40"/>
      <c r="AC41" s="40"/>
      <c r="AE41" s="573" t="s">
        <v>125</v>
      </c>
      <c r="AF41" s="574"/>
      <c r="AG41" s="575"/>
      <c r="AH41" s="438" t="s">
        <v>100</v>
      </c>
      <c r="AI41" s="438"/>
      <c r="AJ41" s="171">
        <f>データ入力!D33</f>
        <v>0</v>
      </c>
      <c r="AK41" s="576">
        <v>100</v>
      </c>
      <c r="AL41" s="576"/>
      <c r="AM41" s="596">
        <f>データ入力!D25</f>
        <v>0</v>
      </c>
      <c r="AN41" s="596"/>
      <c r="AO41" s="535">
        <f>ROUND(AJ41*AK41*AM41/3600000,5)</f>
        <v>0</v>
      </c>
      <c r="AP41" s="535"/>
      <c r="AU41" s="40"/>
      <c r="AV41" s="40"/>
    </row>
    <row r="42" spans="1:48" ht="18.75" customHeight="1" thickTop="1" x14ac:dyDescent="0.15">
      <c r="B42" s="13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 t="s">
        <v>117</v>
      </c>
      <c r="N42" s="19"/>
      <c r="O42" s="19"/>
      <c r="P42" s="19"/>
      <c r="Q42" s="19"/>
      <c r="R42" s="19"/>
      <c r="S42" s="19" t="s">
        <v>119</v>
      </c>
      <c r="T42" s="19"/>
      <c r="U42" s="19"/>
      <c r="V42" s="14"/>
      <c r="W42" s="14"/>
      <c r="X42" s="14"/>
      <c r="Y42" s="14"/>
      <c r="Z42" s="40"/>
      <c r="AA42" s="40"/>
      <c r="AB42" s="40"/>
      <c r="AC42" s="40"/>
      <c r="AE42" s="559"/>
      <c r="AF42" s="560"/>
      <c r="AG42" s="561"/>
      <c r="AH42" s="571" t="s">
        <v>83</v>
      </c>
      <c r="AI42" s="357"/>
      <c r="AJ42" s="571" t="s">
        <v>223</v>
      </c>
      <c r="AK42" s="567" t="s">
        <v>375</v>
      </c>
      <c r="AL42" s="568"/>
      <c r="AM42" s="587"/>
      <c r="AN42" s="588"/>
      <c r="AO42" s="583"/>
      <c r="AP42" s="584"/>
      <c r="AU42" s="40"/>
      <c r="AV42" s="40"/>
    </row>
    <row r="43" spans="1:48" ht="18.75" customHeight="1" thickBot="1" x14ac:dyDescent="0.2">
      <c r="B43" s="13"/>
      <c r="C43" s="20" t="s">
        <v>120</v>
      </c>
      <c r="D43" s="20"/>
      <c r="E43" s="20"/>
      <c r="F43" s="20"/>
      <c r="G43" s="20"/>
      <c r="H43" s="20" t="s">
        <v>121</v>
      </c>
      <c r="I43" s="20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4"/>
      <c r="W43" s="14"/>
      <c r="X43" s="14"/>
      <c r="Y43" s="14"/>
      <c r="Z43" s="40"/>
      <c r="AA43" s="40"/>
      <c r="AB43" s="40"/>
      <c r="AC43" s="40"/>
      <c r="AE43" s="573"/>
      <c r="AF43" s="574"/>
      <c r="AG43" s="575"/>
      <c r="AH43" s="572"/>
      <c r="AI43" s="594"/>
      <c r="AJ43" s="572"/>
      <c r="AK43" s="569"/>
      <c r="AL43" s="570"/>
      <c r="AM43" s="589"/>
      <c r="AN43" s="590"/>
      <c r="AO43" s="585"/>
      <c r="AP43" s="586"/>
      <c r="AR43" s="8"/>
      <c r="AS43" s="8"/>
      <c r="AT43" s="8"/>
      <c r="AU43" s="40"/>
      <c r="AV43" s="40"/>
    </row>
    <row r="44" spans="1:48" ht="18.75" customHeight="1" thickTop="1" thickBot="1" x14ac:dyDescent="0.2">
      <c r="B44" s="13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4"/>
      <c r="W44" s="14"/>
      <c r="X44" s="14"/>
      <c r="Y44" s="14"/>
      <c r="Z44" s="40"/>
      <c r="AA44" s="40"/>
      <c r="AB44" s="40"/>
      <c r="AC44" s="40"/>
      <c r="AE44" s="536" t="s">
        <v>87</v>
      </c>
      <c r="AF44" s="453"/>
      <c r="AG44" s="537"/>
      <c r="AH44" s="595">
        <f>データ入力!D38</f>
        <v>0</v>
      </c>
      <c r="AI44" s="595"/>
      <c r="AJ44" s="236">
        <f>データ入力!D37</f>
        <v>0</v>
      </c>
      <c r="AK44" s="564">
        <f>Q36</f>
        <v>0</v>
      </c>
      <c r="AL44" s="564"/>
      <c r="AM44" s="579"/>
      <c r="AN44" s="579"/>
      <c r="AO44" s="582">
        <f>ROUND(AH44*AK44/(24*60*60),5)</f>
        <v>0</v>
      </c>
      <c r="AP44" s="582"/>
      <c r="AR44" s="8"/>
      <c r="AS44" s="8"/>
      <c r="AT44" s="8"/>
      <c r="AU44" s="40"/>
      <c r="AV44" s="40"/>
    </row>
    <row r="45" spans="1:48" ht="18.75" customHeight="1" thickTop="1" x14ac:dyDescent="0.15">
      <c r="B45" s="13"/>
      <c r="C45" s="548" t="s">
        <v>218</v>
      </c>
      <c r="D45" s="548"/>
      <c r="E45" s="548"/>
      <c r="F45" s="562"/>
      <c r="G45" s="591">
        <f>データ入力!D23</f>
        <v>0</v>
      </c>
      <c r="H45" s="592"/>
      <c r="I45" s="19" t="s">
        <v>134</v>
      </c>
      <c r="J45" s="19"/>
      <c r="K45" s="19"/>
      <c r="L45" s="548" t="s">
        <v>219</v>
      </c>
      <c r="M45" s="548"/>
      <c r="N45" s="548"/>
      <c r="O45" s="562"/>
      <c r="P45" s="591">
        <f>データ入力!D24</f>
        <v>0</v>
      </c>
      <c r="Q45" s="592"/>
      <c r="R45" s="19" t="s">
        <v>134</v>
      </c>
      <c r="S45" s="19"/>
      <c r="T45" s="19"/>
      <c r="U45" s="19"/>
      <c r="V45" s="14"/>
      <c r="W45" s="14"/>
      <c r="X45" s="14"/>
      <c r="Y45" s="14"/>
      <c r="Z45" s="40"/>
      <c r="AA45" s="40"/>
      <c r="AB45" s="40"/>
      <c r="AC45" s="40"/>
      <c r="AE45" s="559" t="s">
        <v>30</v>
      </c>
      <c r="AF45" s="560"/>
      <c r="AG45" s="561"/>
      <c r="AH45" s="533"/>
      <c r="AI45" s="533"/>
      <c r="AJ45" s="324"/>
      <c r="AK45" s="533"/>
      <c r="AL45" s="533"/>
      <c r="AM45" s="533"/>
      <c r="AN45" s="533"/>
      <c r="AO45" s="534">
        <f>SUM(AO37:AP41,AO44)</f>
        <v>0</v>
      </c>
      <c r="AP45" s="534"/>
      <c r="AR45" s="28"/>
      <c r="AS45" s="28"/>
      <c r="AT45" s="28"/>
      <c r="AU45" s="40"/>
      <c r="AV45" s="40"/>
    </row>
    <row r="46" spans="1:48" ht="18.75" customHeight="1" x14ac:dyDescent="0.1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4"/>
      <c r="W46" s="14"/>
      <c r="X46" s="14"/>
      <c r="Y46" s="14"/>
      <c r="Z46" s="40"/>
      <c r="AA46" s="40"/>
      <c r="AB46" s="40"/>
      <c r="AC46" s="40"/>
      <c r="AU46" s="40"/>
      <c r="AV46" s="40"/>
    </row>
    <row r="47" spans="1:48" ht="18.75" customHeight="1" x14ac:dyDescent="0.1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4"/>
      <c r="W47" s="14"/>
      <c r="X47" s="14"/>
      <c r="Y47" s="14"/>
      <c r="AH47" s="577" t="s">
        <v>451</v>
      </c>
      <c r="AI47" s="577"/>
      <c r="AJ47" s="577"/>
      <c r="AK47" s="580">
        <f>SUM(AO45)</f>
        <v>0</v>
      </c>
      <c r="AL47" s="580"/>
      <c r="AM47" s="580"/>
      <c r="AN47" s="577" t="s">
        <v>230</v>
      </c>
      <c r="AO47" s="577"/>
      <c r="AU47" s="40"/>
      <c r="AV47" s="40"/>
    </row>
    <row r="48" spans="1:48" ht="18.75" customHeight="1" x14ac:dyDescent="0.1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4"/>
      <c r="W48" s="14"/>
      <c r="X48" s="14"/>
      <c r="Y48" s="14"/>
      <c r="AH48" s="578"/>
      <c r="AI48" s="578"/>
      <c r="AJ48" s="578"/>
      <c r="AK48" s="581"/>
      <c r="AL48" s="581"/>
      <c r="AM48" s="581"/>
      <c r="AN48" s="578"/>
      <c r="AO48" s="578"/>
      <c r="AU48" s="40"/>
      <c r="AV48" s="40"/>
    </row>
    <row r="49" spans="2:54" ht="18.75" customHeight="1" x14ac:dyDescent="0.1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4"/>
      <c r="W49" s="14"/>
      <c r="X49" s="14"/>
      <c r="Y49" s="14"/>
      <c r="AH49" s="30"/>
      <c r="AK49" s="40" t="s">
        <v>425</v>
      </c>
      <c r="AL49" s="28"/>
      <c r="AM49" s="28"/>
      <c r="AU49" s="40"/>
      <c r="AV49" s="40"/>
    </row>
    <row r="50" spans="2:54" ht="18.75" customHeight="1" x14ac:dyDescent="0.1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4"/>
      <c r="W50" s="14"/>
      <c r="X50" s="14"/>
      <c r="Y50" s="14"/>
      <c r="Z50" s="553" t="s">
        <v>224</v>
      </c>
      <c r="AA50" s="553"/>
      <c r="AB50" s="553"/>
      <c r="AC50" s="553"/>
      <c r="AD50" s="553"/>
      <c r="AE50" s="553"/>
      <c r="AU50" s="40"/>
      <c r="AV50" s="40"/>
    </row>
    <row r="51" spans="2:54" ht="18.75" customHeight="1" x14ac:dyDescent="0.1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AH51" s="550" t="s">
        <v>63</v>
      </c>
      <c r="AI51" s="550"/>
      <c r="AJ51" s="550"/>
      <c r="AO51" s="134"/>
      <c r="AU51" s="40"/>
      <c r="AV51" s="40"/>
    </row>
    <row r="52" spans="2:54" ht="18.75" customHeight="1" thickBot="1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AH52" s="612"/>
      <c r="AI52" s="612"/>
      <c r="AJ52" s="612"/>
      <c r="AO52" s="134"/>
    </row>
    <row r="53" spans="2:54" ht="18.75" customHeight="1" x14ac:dyDescent="0.1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AH53" s="616" t="s">
        <v>104</v>
      </c>
      <c r="AI53" s="617"/>
      <c r="AJ53" s="617"/>
      <c r="AK53" s="189" t="s">
        <v>417</v>
      </c>
      <c r="AL53" s="617" t="s">
        <v>452</v>
      </c>
      <c r="AM53" s="617"/>
      <c r="AN53" s="618"/>
      <c r="AO53" s="134"/>
      <c r="AU53" s="40"/>
      <c r="AV53" s="40"/>
    </row>
    <row r="54" spans="2:54" ht="18.75" customHeight="1" x14ac:dyDescent="0.1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AH54" s="600" t="e">
        <f>通水量!N35</f>
        <v>#VALUE!</v>
      </c>
      <c r="AI54" s="601"/>
      <c r="AJ54" s="601"/>
      <c r="AK54" s="604" t="e">
        <f>IF(AH54-AL54&gt;=0,"＞","＜")</f>
        <v>#VALUE!</v>
      </c>
      <c r="AL54" s="613">
        <f>AK47</f>
        <v>0</v>
      </c>
      <c r="AM54" s="601"/>
      <c r="AN54" s="614"/>
      <c r="AO54" s="134"/>
      <c r="AU54" s="40"/>
      <c r="AV54" s="40"/>
    </row>
    <row r="55" spans="2:54" ht="18.75" customHeight="1" thickBot="1" x14ac:dyDescent="0.2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Z55" s="39"/>
      <c r="AB55" s="145"/>
      <c r="AH55" s="602"/>
      <c r="AI55" s="603"/>
      <c r="AJ55" s="603"/>
      <c r="AK55" s="605"/>
      <c r="AL55" s="603"/>
      <c r="AM55" s="603"/>
      <c r="AN55" s="615"/>
      <c r="AO55" s="39"/>
      <c r="AT55" s="39"/>
      <c r="AU55" s="40"/>
      <c r="AV55" s="40"/>
    </row>
    <row r="56" spans="2:54" ht="18.75" customHeight="1" x14ac:dyDescent="0.1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AH56" s="30"/>
      <c r="AO56" s="134"/>
      <c r="AU56" s="40"/>
      <c r="AV56" s="40"/>
    </row>
    <row r="57" spans="2:54" ht="18.75" customHeight="1" x14ac:dyDescent="0.1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AH57" s="524" t="s">
        <v>66</v>
      </c>
      <c r="AI57" s="524"/>
      <c r="AJ57" s="524"/>
      <c r="AK57" s="524"/>
      <c r="AL57" s="524"/>
      <c r="AM57" s="524"/>
      <c r="AN57" s="524"/>
      <c r="AO57" s="524"/>
      <c r="AP57" s="524"/>
      <c r="AU57" s="40"/>
      <c r="AV57" s="40"/>
    </row>
    <row r="58" spans="2:54" ht="18.75" customHeight="1" thickBot="1" x14ac:dyDescent="0.2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AH58" s="524"/>
      <c r="AI58" s="524"/>
      <c r="AJ58" s="524"/>
      <c r="AK58" s="524"/>
      <c r="AL58" s="524"/>
      <c r="AM58" s="524"/>
      <c r="AN58" s="524"/>
      <c r="AO58" s="524"/>
      <c r="AP58" s="524"/>
      <c r="AU58" s="40"/>
      <c r="AV58" s="40"/>
    </row>
    <row r="59" spans="2:54" ht="18.75" customHeight="1" x14ac:dyDescent="0.1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AA59" s="597" t="s">
        <v>453</v>
      </c>
      <c r="AB59" s="598"/>
      <c r="AC59" s="598"/>
      <c r="AD59" s="598"/>
      <c r="AE59" s="598"/>
      <c r="AF59" s="598"/>
      <c r="AG59" s="599"/>
      <c r="AH59" s="606" t="e">
        <f>AL54-AH54</f>
        <v>#VALUE!</v>
      </c>
      <c r="AI59" s="607"/>
      <c r="AJ59" s="608"/>
      <c r="AK59" s="488" t="s">
        <v>230</v>
      </c>
      <c r="AL59" s="488"/>
      <c r="AM59" s="512" t="s">
        <v>228</v>
      </c>
      <c r="AN59" s="513"/>
      <c r="AO59" s="513"/>
      <c r="AP59" s="513"/>
      <c r="AQ59" s="513"/>
      <c r="AR59" s="514"/>
      <c r="AS59" s="40"/>
      <c r="AU59" s="40"/>
      <c r="AV59" s="40"/>
    </row>
    <row r="60" spans="2:54" ht="18.75" customHeight="1" thickBot="1" x14ac:dyDescent="0.2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AA60" s="598"/>
      <c r="AB60" s="598"/>
      <c r="AC60" s="598"/>
      <c r="AD60" s="598"/>
      <c r="AE60" s="598"/>
      <c r="AF60" s="598"/>
      <c r="AG60" s="599"/>
      <c r="AH60" s="609"/>
      <c r="AI60" s="610"/>
      <c r="AJ60" s="611"/>
      <c r="AK60" s="488"/>
      <c r="AL60" s="488"/>
      <c r="AM60" s="515" t="s">
        <v>229</v>
      </c>
      <c r="AN60" s="516"/>
      <c r="AO60" s="516"/>
      <c r="AP60" s="516"/>
      <c r="AQ60" s="516"/>
      <c r="AR60" s="517"/>
      <c r="AS60" s="40"/>
      <c r="AU60" s="40"/>
      <c r="AV60" s="40"/>
    </row>
    <row r="61" spans="2:54" ht="18.75" customHeight="1" x14ac:dyDescent="0.1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AU61" s="40"/>
      <c r="AV61" s="40"/>
    </row>
    <row r="62" spans="2:54" s="39" customFormat="1" ht="15" customHeight="1" x14ac:dyDescent="0.1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30"/>
      <c r="AA62" s="30"/>
      <c r="AB62" s="30"/>
      <c r="AC62" s="30"/>
      <c r="AD62" s="30"/>
      <c r="AE62" s="30"/>
      <c r="AF62" s="30"/>
      <c r="AG62" s="30"/>
      <c r="AH62" s="134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W62" s="30"/>
      <c r="AX62" s="30"/>
      <c r="AY62" s="30"/>
      <c r="AZ62" s="30"/>
      <c r="BA62" s="30"/>
      <c r="BB62" s="30"/>
    </row>
    <row r="63" spans="2:54" ht="15" customHeight="1" x14ac:dyDescent="0.1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2:5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</sheetData>
  <mergeCells count="200">
    <mergeCell ref="AA59:AG60"/>
    <mergeCell ref="AH54:AJ55"/>
    <mergeCell ref="AK54:AK55"/>
    <mergeCell ref="AH59:AJ60"/>
    <mergeCell ref="AH57:AP58"/>
    <mergeCell ref="AH51:AJ52"/>
    <mergeCell ref="AL54:AN55"/>
    <mergeCell ref="AK59:AL60"/>
    <mergeCell ref="AM59:AR59"/>
    <mergeCell ref="AM60:AR60"/>
    <mergeCell ref="AH53:AJ53"/>
    <mergeCell ref="AL53:AN53"/>
    <mergeCell ref="C45:F45"/>
    <mergeCell ref="AK40:AL40"/>
    <mergeCell ref="AM40:AN40"/>
    <mergeCell ref="AN47:AO48"/>
    <mergeCell ref="AO41:AP41"/>
    <mergeCell ref="AM44:AN44"/>
    <mergeCell ref="AK47:AM48"/>
    <mergeCell ref="AO40:AP40"/>
    <mergeCell ref="AO44:AP44"/>
    <mergeCell ref="AO42:AP43"/>
    <mergeCell ref="AM42:AN43"/>
    <mergeCell ref="G45:H45"/>
    <mergeCell ref="R41:T41"/>
    <mergeCell ref="P45:Q45"/>
    <mergeCell ref="L45:O45"/>
    <mergeCell ref="AH42:AI43"/>
    <mergeCell ref="AH47:AJ48"/>
    <mergeCell ref="AH44:AI44"/>
    <mergeCell ref="AH40:AI40"/>
    <mergeCell ref="AM41:AN41"/>
    <mergeCell ref="Z50:AE50"/>
    <mergeCell ref="AH45:AI45"/>
    <mergeCell ref="AK45:AL45"/>
    <mergeCell ref="AK42:AL43"/>
    <mergeCell ref="AJ42:AJ43"/>
    <mergeCell ref="AE45:AG45"/>
    <mergeCell ref="AE41:AG41"/>
    <mergeCell ref="AE42:AG43"/>
    <mergeCell ref="AE44:AG44"/>
    <mergeCell ref="AH41:AI41"/>
    <mergeCell ref="AK41:AL41"/>
    <mergeCell ref="AK44:AL44"/>
    <mergeCell ref="A2:F2"/>
    <mergeCell ref="AL15:AM15"/>
    <mergeCell ref="AI12:AK12"/>
    <mergeCell ref="AL21:AM21"/>
    <mergeCell ref="AL20:AM20"/>
    <mergeCell ref="AE20:AH20"/>
    <mergeCell ref="AE26:AH26"/>
    <mergeCell ref="AI26:AK26"/>
    <mergeCell ref="AE25:AH25"/>
    <mergeCell ref="AE24:AH24"/>
    <mergeCell ref="AL16:AM16"/>
    <mergeCell ref="AL26:AM26"/>
    <mergeCell ref="AL24:AM24"/>
    <mergeCell ref="AE15:AH17"/>
    <mergeCell ref="AI20:AK20"/>
    <mergeCell ref="AE19:AH19"/>
    <mergeCell ref="AE23:AH23"/>
    <mergeCell ref="AE22:AH22"/>
    <mergeCell ref="AE21:AH21"/>
    <mergeCell ref="C36:D36"/>
    <mergeCell ref="AN26:AO26"/>
    <mergeCell ref="AN22:AO22"/>
    <mergeCell ref="AH27:AQ27"/>
    <mergeCell ref="AE28:AI29"/>
    <mergeCell ref="AO38:AP38"/>
    <mergeCell ref="AK33:AL34"/>
    <mergeCell ref="AK35:AL35"/>
    <mergeCell ref="AM36:AN36"/>
    <mergeCell ref="AO35:AP35"/>
    <mergeCell ref="AK36:AL36"/>
    <mergeCell ref="AE35:AG36"/>
    <mergeCell ref="AK37:AL37"/>
    <mergeCell ref="AE37:AG37"/>
    <mergeCell ref="AF38:AG38"/>
    <mergeCell ref="AI22:AK22"/>
    <mergeCell ref="AF33:AG34"/>
    <mergeCell ref="AE38:AE40"/>
    <mergeCell ref="F36:H36"/>
    <mergeCell ref="P41:Q41"/>
    <mergeCell ref="AJ35:AJ36"/>
    <mergeCell ref="AM38:AN38"/>
    <mergeCell ref="A29:G29"/>
    <mergeCell ref="C32:F32"/>
    <mergeCell ref="H32:I32"/>
    <mergeCell ref="O32:P32"/>
    <mergeCell ref="Z32:AE32"/>
    <mergeCell ref="AM28:AO29"/>
    <mergeCell ref="AF39:AG39"/>
    <mergeCell ref="AK39:AL39"/>
    <mergeCell ref="C41:F41"/>
    <mergeCell ref="I41:L41"/>
    <mergeCell ref="AF40:AG40"/>
    <mergeCell ref="AX16:AY16"/>
    <mergeCell ref="AP25:AQ25"/>
    <mergeCell ref="AP26:AQ26"/>
    <mergeCell ref="AI25:AK25"/>
    <mergeCell ref="AL25:AM25"/>
    <mergeCell ref="AN25:AO25"/>
    <mergeCell ref="AN17:AO17"/>
    <mergeCell ref="AN16:AO16"/>
    <mergeCell ref="AP21:AQ21"/>
    <mergeCell ref="AP22:AQ22"/>
    <mergeCell ref="AI23:AK23"/>
    <mergeCell ref="AL23:AM23"/>
    <mergeCell ref="AN23:AO23"/>
    <mergeCell ref="AP24:AQ24"/>
    <mergeCell ref="AN24:AO24"/>
    <mergeCell ref="AI24:AK24"/>
    <mergeCell ref="AP23:AQ23"/>
    <mergeCell ref="AN21:AO21"/>
    <mergeCell ref="AN19:AO19"/>
    <mergeCell ref="AN20:AO20"/>
    <mergeCell ref="AI19:AK19"/>
    <mergeCell ref="AP19:AQ19"/>
    <mergeCell ref="AI21:AK21"/>
    <mergeCell ref="AL22:AM22"/>
    <mergeCell ref="AP15:AQ15"/>
    <mergeCell ref="AM30:AP30"/>
    <mergeCell ref="AM45:AN45"/>
    <mergeCell ref="AO45:AP45"/>
    <mergeCell ref="AO39:AP39"/>
    <mergeCell ref="AH38:AI38"/>
    <mergeCell ref="AK38:AL38"/>
    <mergeCell ref="AH35:AI36"/>
    <mergeCell ref="AO37:AP37"/>
    <mergeCell ref="AM35:AN35"/>
    <mergeCell ref="AH39:AI39"/>
    <mergeCell ref="AH37:AI37"/>
    <mergeCell ref="AM39:AN39"/>
    <mergeCell ref="AM37:AN37"/>
    <mergeCell ref="AM33:AN34"/>
    <mergeCell ref="AH34:AI34"/>
    <mergeCell ref="AO36:AP36"/>
    <mergeCell ref="AH33:AI33"/>
    <mergeCell ref="AJ33:AJ34"/>
    <mergeCell ref="AE18:AH18"/>
    <mergeCell ref="AI18:AK18"/>
    <mergeCell ref="AI15:AK15"/>
    <mergeCell ref="AP20:AQ20"/>
    <mergeCell ref="AL18:AM18"/>
    <mergeCell ref="AI13:AK13"/>
    <mergeCell ref="AI16:AK16"/>
    <mergeCell ref="AI17:AK17"/>
    <mergeCell ref="AL17:AM17"/>
    <mergeCell ref="AN15:AO15"/>
    <mergeCell ref="AN18:AO18"/>
    <mergeCell ref="AE8:AH9"/>
    <mergeCell ref="AI8:AK8"/>
    <mergeCell ref="AL8:AM8"/>
    <mergeCell ref="AN8:AO8"/>
    <mergeCell ref="AL10:AM10"/>
    <mergeCell ref="AN13:AO13"/>
    <mergeCell ref="AI9:AK9"/>
    <mergeCell ref="AL14:AM14"/>
    <mergeCell ref="AI11:AK11"/>
    <mergeCell ref="AE10:AH11"/>
    <mergeCell ref="AN14:AO14"/>
    <mergeCell ref="AI10:AK10"/>
    <mergeCell ref="AL13:AM13"/>
    <mergeCell ref="AI14:AK14"/>
    <mergeCell ref="AE12:AH14"/>
    <mergeCell ref="AP4:AQ5"/>
    <mergeCell ref="AL5:AM5"/>
    <mergeCell ref="AP8:AQ8"/>
    <mergeCell ref="AN9:AO9"/>
    <mergeCell ref="AP9:AQ9"/>
    <mergeCell ref="AN7:AO7"/>
    <mergeCell ref="AL9:AM9"/>
    <mergeCell ref="AP28:AQ29"/>
    <mergeCell ref="AP6:AQ6"/>
    <mergeCell ref="AP7:AQ7"/>
    <mergeCell ref="AP12:AQ12"/>
    <mergeCell ref="AN11:AO11"/>
    <mergeCell ref="AL11:AM11"/>
    <mergeCell ref="AN12:AO12"/>
    <mergeCell ref="AL12:AM12"/>
    <mergeCell ref="AP10:AQ10"/>
    <mergeCell ref="AN10:AO10"/>
    <mergeCell ref="AP16:AQ16"/>
    <mergeCell ref="AP17:AQ17"/>
    <mergeCell ref="AP14:AQ14"/>
    <mergeCell ref="AP13:AQ13"/>
    <mergeCell ref="AP11:AQ11"/>
    <mergeCell ref="AL19:AM19"/>
    <mergeCell ref="AP18:AQ18"/>
    <mergeCell ref="AF3:AO3"/>
    <mergeCell ref="AE6:AH7"/>
    <mergeCell ref="AI6:AK6"/>
    <mergeCell ref="AL6:AM6"/>
    <mergeCell ref="AN6:AO6"/>
    <mergeCell ref="AN5:AO5"/>
    <mergeCell ref="AI7:AK7"/>
    <mergeCell ref="AL7:AM7"/>
    <mergeCell ref="AE4:AK5"/>
    <mergeCell ref="AL4:AM4"/>
    <mergeCell ref="AN4:AO4"/>
  </mergeCells>
  <phoneticPr fontId="2"/>
  <printOptions horizontalCentered="1"/>
  <pageMargins left="0.59055118110236227" right="0.39370078740157483" top="0.39370078740157483" bottom="0.39370078740157483" header="0.19685039370078741" footer="0.19685039370078741"/>
  <pageSetup paperSize="9" scale="74" fitToWidth="0" orientation="portrait" r:id="rId1"/>
  <headerFooter alignWithMargins="0"/>
  <colBreaks count="1" manualBreakCount="1">
    <brk id="25" max="6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D085A-25E8-45BF-A1C8-B629963E17B0}">
  <dimension ref="A1"/>
  <sheetViews>
    <sheetView workbookViewId="0">
      <selection activeCell="A15" sqref="A15"/>
    </sheetView>
  </sheetViews>
  <sheetFormatPr defaultColWidth="8.75" defaultRowHeight="13.5" x14ac:dyDescent="0.15"/>
  <cols>
    <col min="1" max="16384" width="8.75" style="30"/>
  </cols>
  <sheetData/>
  <phoneticPr fontId="2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E1C45-95BD-4BAC-8CF8-06925D0488B6}">
  <sheetPr>
    <pageSetUpPr fitToPage="1"/>
  </sheetPr>
  <dimension ref="A1:X48"/>
  <sheetViews>
    <sheetView view="pageBreakPreview" zoomScaleNormal="100" zoomScaleSheetLayoutView="100" workbookViewId="0">
      <selection activeCell="AA14" sqref="AA14"/>
    </sheetView>
  </sheetViews>
  <sheetFormatPr defaultColWidth="8.75" defaultRowHeight="13.5" x14ac:dyDescent="0.15"/>
  <cols>
    <col min="1" max="24" width="3.875" style="148" customWidth="1"/>
    <col min="25" max="25" width="8.75" style="148"/>
    <col min="26" max="26" width="3.875" style="148" customWidth="1"/>
    <col min="27" max="16384" width="8.75" style="148"/>
  </cols>
  <sheetData>
    <row r="1" spans="1:24" ht="14.25" x14ac:dyDescent="0.15">
      <c r="A1" s="621" t="s">
        <v>328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46"/>
      <c r="N1" s="46"/>
      <c r="O1" s="46"/>
      <c r="P1" s="46"/>
      <c r="Q1" s="46"/>
      <c r="R1" s="46"/>
      <c r="S1" s="672" t="s">
        <v>329</v>
      </c>
      <c r="T1" s="673"/>
      <c r="U1" s="673"/>
      <c r="V1" s="673"/>
      <c r="W1" s="673"/>
      <c r="X1" s="674"/>
    </row>
    <row r="2" spans="1:24" x14ac:dyDescent="0.15">
      <c r="A2" s="32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</row>
    <row r="3" spans="1:24" x14ac:dyDescent="0.15">
      <c r="A3" s="622" t="s">
        <v>330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  <c r="Q3" s="622"/>
      <c r="R3" s="622"/>
      <c r="S3" s="622"/>
      <c r="T3" s="622"/>
      <c r="U3" s="622"/>
      <c r="V3" s="622"/>
      <c r="W3" s="622"/>
      <c r="X3" s="622"/>
    </row>
    <row r="4" spans="1:24" x14ac:dyDescent="0.15">
      <c r="A4" s="32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199"/>
    </row>
    <row r="5" spans="1:24" ht="14.25" thickBot="1" x14ac:dyDescent="0.2">
      <c r="A5" s="25" t="s">
        <v>331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25"/>
      <c r="S5" s="25"/>
      <c r="T5" s="25"/>
      <c r="U5" s="25"/>
      <c r="V5" s="25"/>
      <c r="W5" s="25"/>
      <c r="X5" s="25"/>
    </row>
    <row r="6" spans="1:24" ht="14.25" thickBot="1" x14ac:dyDescent="0.2">
      <c r="A6" s="25"/>
      <c r="B6" s="623" t="s">
        <v>358</v>
      </c>
      <c r="C6" s="623"/>
      <c r="D6" s="623"/>
      <c r="E6" s="623"/>
      <c r="F6" s="201" t="s">
        <v>114</v>
      </c>
      <c r="G6" s="675"/>
      <c r="H6" s="676"/>
      <c r="I6" s="198" t="s">
        <v>113</v>
      </c>
      <c r="J6" s="198" t="s">
        <v>359</v>
      </c>
      <c r="K6" s="198"/>
      <c r="L6" s="198"/>
      <c r="M6" s="198"/>
      <c r="N6" s="198"/>
      <c r="O6" s="198"/>
      <c r="P6" s="198"/>
      <c r="Q6" s="198"/>
      <c r="R6" s="25"/>
      <c r="S6" s="25"/>
      <c r="T6" s="25"/>
      <c r="U6" s="25"/>
      <c r="V6" s="25"/>
      <c r="W6" s="25"/>
      <c r="X6" s="25"/>
    </row>
    <row r="7" spans="1:24" x14ac:dyDescent="0.15">
      <c r="A7" s="25"/>
      <c r="B7" s="198"/>
      <c r="C7" s="198"/>
      <c r="D7" s="198"/>
      <c r="E7" s="32"/>
      <c r="F7" s="201"/>
      <c r="G7" s="624"/>
      <c r="H7" s="624"/>
      <c r="I7" s="202"/>
      <c r="J7" s="198"/>
      <c r="K7" s="198"/>
      <c r="L7" s="198"/>
      <c r="M7" s="198"/>
      <c r="N7" s="198"/>
      <c r="O7" s="198"/>
      <c r="P7" s="198"/>
      <c r="Q7" s="198"/>
      <c r="R7" s="25"/>
      <c r="S7" s="25"/>
      <c r="T7" s="25"/>
      <c r="U7" s="25"/>
      <c r="V7" s="25"/>
      <c r="W7" s="25"/>
      <c r="X7" s="25"/>
    </row>
    <row r="8" spans="1:24" x14ac:dyDescent="0.15">
      <c r="A8" s="25"/>
      <c r="B8" s="198" t="s">
        <v>332</v>
      </c>
      <c r="C8" s="198"/>
      <c r="D8" s="198"/>
      <c r="E8" s="32"/>
      <c r="F8" s="201" t="s">
        <v>114</v>
      </c>
      <c r="G8" s="508" t="s">
        <v>420</v>
      </c>
      <c r="H8" s="508"/>
      <c r="I8" s="508"/>
      <c r="J8" s="508"/>
      <c r="K8" s="508"/>
      <c r="L8" s="508"/>
      <c r="M8" s="508"/>
      <c r="N8" s="508"/>
      <c r="O8" s="508"/>
      <c r="P8" s="508"/>
      <c r="Q8" s="508"/>
      <c r="R8" s="508"/>
      <c r="S8" s="508"/>
      <c r="T8" s="508"/>
      <c r="U8" s="508"/>
      <c r="V8" s="508"/>
      <c r="W8" s="508"/>
      <c r="X8" s="508"/>
    </row>
    <row r="9" spans="1:24" x14ac:dyDescent="0.15">
      <c r="A9" s="25"/>
      <c r="B9" s="32"/>
      <c r="C9" s="32"/>
      <c r="D9" s="32"/>
      <c r="E9" s="32"/>
      <c r="F9" s="201" t="s">
        <v>114</v>
      </c>
      <c r="G9" s="619">
        <f>ROUND(1/3600000*T13*100*G6,5)</f>
        <v>0</v>
      </c>
      <c r="H9" s="619"/>
      <c r="I9" s="619"/>
      <c r="J9" s="620" t="s">
        <v>421</v>
      </c>
      <c r="K9" s="620"/>
      <c r="L9" s="198"/>
      <c r="M9" s="198"/>
      <c r="N9" s="198"/>
      <c r="O9" s="198"/>
      <c r="P9" s="198"/>
      <c r="Q9" s="198"/>
      <c r="R9" s="25"/>
      <c r="S9" s="25"/>
      <c r="T9" s="25"/>
      <c r="U9" s="25"/>
      <c r="V9" s="25"/>
      <c r="W9" s="25"/>
      <c r="X9" s="25"/>
    </row>
    <row r="10" spans="1:24" x14ac:dyDescent="0.15">
      <c r="A10" s="25"/>
      <c r="B10" s="32"/>
      <c r="C10" s="32"/>
      <c r="D10" s="32"/>
      <c r="E10" s="32"/>
      <c r="F10" s="201" t="s">
        <v>114</v>
      </c>
      <c r="G10" s="619">
        <f>ROUND(G9*60*60,5)</f>
        <v>0</v>
      </c>
      <c r="H10" s="619"/>
      <c r="I10" s="619"/>
      <c r="J10" s="620" t="s">
        <v>422</v>
      </c>
      <c r="K10" s="620"/>
      <c r="L10" s="198"/>
      <c r="M10" s="198"/>
      <c r="N10" s="198"/>
      <c r="O10" s="198"/>
      <c r="P10" s="198"/>
      <c r="Q10" s="198"/>
      <c r="R10" s="25"/>
      <c r="S10" s="25"/>
      <c r="T10" s="25"/>
      <c r="U10" s="25"/>
      <c r="V10" s="25"/>
      <c r="W10" s="25"/>
      <c r="X10" s="25"/>
    </row>
    <row r="11" spans="1:24" x14ac:dyDescent="0.15">
      <c r="A11" s="25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198"/>
      <c r="Q11" s="198"/>
      <c r="R11" s="25"/>
      <c r="S11" s="25"/>
      <c r="T11" s="25"/>
      <c r="U11" s="25"/>
      <c r="V11" s="25"/>
      <c r="W11" s="25"/>
      <c r="X11" s="25"/>
    </row>
    <row r="12" spans="1:24" x14ac:dyDescent="0.15">
      <c r="A12" s="32"/>
      <c r="B12" s="204" t="s">
        <v>333</v>
      </c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45"/>
      <c r="X12" s="205"/>
    </row>
    <row r="13" spans="1:24" x14ac:dyDescent="0.15">
      <c r="A13" s="32"/>
      <c r="B13" s="626" t="s">
        <v>334</v>
      </c>
      <c r="C13" s="626"/>
      <c r="D13" s="626"/>
      <c r="E13" s="626"/>
      <c r="F13" s="626"/>
      <c r="G13" s="626"/>
      <c r="H13" s="626"/>
      <c r="I13" s="627" t="e">
        <f>市街化区域!M30</f>
        <v>#DIV/0!</v>
      </c>
      <c r="J13" s="627"/>
      <c r="K13" s="200" t="s">
        <v>48</v>
      </c>
      <c r="L13" s="44"/>
      <c r="M13" s="628" t="s">
        <v>335</v>
      </c>
      <c r="N13" s="628"/>
      <c r="O13" s="628"/>
      <c r="P13" s="628"/>
      <c r="Q13" s="628"/>
      <c r="R13" s="628"/>
      <c r="S13" s="628"/>
      <c r="T13" s="629">
        <f>データ入力!D28</f>
        <v>0</v>
      </c>
      <c r="U13" s="629"/>
      <c r="V13" s="206"/>
      <c r="W13" s="206"/>
      <c r="X13" s="205"/>
    </row>
    <row r="14" spans="1:24" x14ac:dyDescent="0.15">
      <c r="A14" s="32"/>
      <c r="B14" s="626" t="s">
        <v>336</v>
      </c>
      <c r="C14" s="626"/>
      <c r="D14" s="626"/>
      <c r="E14" s="626"/>
      <c r="F14" s="626"/>
      <c r="G14" s="626"/>
      <c r="H14" s="626"/>
      <c r="I14" s="627" t="e">
        <f>市街化区域!E30</f>
        <v>#VALUE!</v>
      </c>
      <c r="J14" s="627"/>
      <c r="K14" s="200" t="s">
        <v>48</v>
      </c>
      <c r="L14" s="44"/>
      <c r="M14" s="630" t="s">
        <v>337</v>
      </c>
      <c r="N14" s="630"/>
      <c r="O14" s="630"/>
      <c r="P14" s="630"/>
      <c r="Q14" s="630"/>
      <c r="R14" s="630"/>
      <c r="S14" s="630"/>
      <c r="T14" s="631">
        <f>市街化区域!P48</f>
        <v>0</v>
      </c>
      <c r="U14" s="631"/>
      <c r="V14" s="44" t="s">
        <v>48</v>
      </c>
      <c r="W14" s="44"/>
      <c r="X14" s="205"/>
    </row>
    <row r="15" spans="1:24" x14ac:dyDescent="0.15">
      <c r="A15" s="32"/>
      <c r="B15" s="208"/>
      <c r="C15" s="208"/>
      <c r="D15" s="208"/>
      <c r="E15" s="208"/>
      <c r="F15" s="208"/>
      <c r="G15" s="208"/>
      <c r="H15" s="208"/>
      <c r="I15" s="208"/>
      <c r="J15" s="208"/>
      <c r="K15" s="209"/>
      <c r="L15" s="208"/>
      <c r="M15" s="208"/>
      <c r="N15" s="208"/>
      <c r="O15" s="209"/>
      <c r="P15" s="209"/>
      <c r="Q15" s="209"/>
      <c r="R15" s="209"/>
      <c r="S15" s="209"/>
      <c r="T15" s="209"/>
      <c r="U15" s="209"/>
      <c r="V15" s="209"/>
      <c r="W15" s="210"/>
      <c r="X15" s="205"/>
    </row>
    <row r="16" spans="1:24" x14ac:dyDescent="0.15">
      <c r="A16" s="25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25"/>
      <c r="S16" s="25"/>
      <c r="T16" s="25"/>
      <c r="U16" s="25"/>
      <c r="V16" s="25"/>
      <c r="W16" s="25"/>
      <c r="X16" s="25"/>
    </row>
    <row r="17" spans="1:24" x14ac:dyDescent="0.15">
      <c r="A17" s="25" t="s">
        <v>338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25"/>
      <c r="S17" s="25"/>
      <c r="T17" s="25"/>
      <c r="U17" s="25"/>
      <c r="V17" s="25"/>
      <c r="W17" s="25"/>
      <c r="X17" s="25"/>
    </row>
    <row r="18" spans="1:24" x14ac:dyDescent="0.15">
      <c r="A18" s="32"/>
      <c r="B18" s="32" t="s">
        <v>429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</row>
    <row r="19" spans="1:24" x14ac:dyDescent="0.15">
      <c r="A19" s="32"/>
      <c r="B19" s="32" t="s">
        <v>427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</row>
    <row r="20" spans="1:24" x14ac:dyDescent="0.15">
      <c r="A20" s="32"/>
      <c r="B20" s="211" t="s">
        <v>339</v>
      </c>
      <c r="C20" s="212"/>
      <c r="D20" s="212" t="s">
        <v>340</v>
      </c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197"/>
      <c r="T20" s="32"/>
      <c r="U20" s="32"/>
      <c r="V20" s="32"/>
      <c r="W20" s="32"/>
      <c r="X20" s="32"/>
    </row>
    <row r="21" spans="1:24" x14ac:dyDescent="0.15">
      <c r="A21" s="32"/>
      <c r="B21" s="213"/>
      <c r="C21" s="225" t="s">
        <v>428</v>
      </c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196"/>
      <c r="T21" s="32"/>
      <c r="U21" s="32"/>
      <c r="V21" s="32"/>
      <c r="W21" s="32"/>
      <c r="X21" s="32"/>
    </row>
    <row r="22" spans="1:24" x14ac:dyDescent="0.1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</row>
    <row r="23" spans="1:24" x14ac:dyDescent="0.15">
      <c r="A23" s="32" t="s">
        <v>341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</row>
    <row r="24" spans="1:24" x14ac:dyDescent="0.15">
      <c r="A24" s="348" t="s">
        <v>342</v>
      </c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349"/>
      <c r="Q24" s="348" t="s">
        <v>343</v>
      </c>
      <c r="R24" s="625"/>
      <c r="S24" s="625"/>
      <c r="T24" s="349"/>
      <c r="U24" s="348" t="s">
        <v>344</v>
      </c>
      <c r="V24" s="625"/>
      <c r="W24" s="625"/>
      <c r="X24" s="349"/>
    </row>
    <row r="25" spans="1:24" x14ac:dyDescent="0.15">
      <c r="A25" s="677" t="s">
        <v>398</v>
      </c>
      <c r="B25" s="678"/>
      <c r="C25" s="678"/>
      <c r="D25" s="678"/>
      <c r="E25" s="678"/>
      <c r="F25" s="678"/>
      <c r="G25" s="678"/>
      <c r="H25" s="678"/>
      <c r="I25" s="678"/>
      <c r="J25" s="678"/>
      <c r="K25" s="678"/>
      <c r="L25" s="678"/>
      <c r="M25" s="678"/>
      <c r="N25" s="678"/>
      <c r="O25" s="678"/>
      <c r="P25" s="679"/>
      <c r="Q25" s="633">
        <f>①透水性舗装対策量!E30</f>
        <v>0</v>
      </c>
      <c r="R25" s="633"/>
      <c r="S25" s="634" t="s">
        <v>422</v>
      </c>
      <c r="T25" s="635"/>
      <c r="U25" s="632">
        <f>①透水性舗装対策量!E33</f>
        <v>0</v>
      </c>
      <c r="V25" s="633"/>
      <c r="W25" s="634" t="s">
        <v>423</v>
      </c>
      <c r="X25" s="635"/>
    </row>
    <row r="26" spans="1:24" x14ac:dyDescent="0.15">
      <c r="A26" s="680" t="s">
        <v>397</v>
      </c>
      <c r="B26" s="637"/>
      <c r="C26" s="637"/>
      <c r="D26" s="637"/>
      <c r="E26" s="637"/>
      <c r="F26" s="637"/>
      <c r="G26" s="637"/>
      <c r="H26" s="637"/>
      <c r="I26" s="637"/>
      <c r="J26" s="637"/>
      <c r="K26" s="637"/>
      <c r="L26" s="637"/>
      <c r="M26" s="637"/>
      <c r="N26" s="637"/>
      <c r="O26" s="637"/>
      <c r="P26" s="638"/>
      <c r="Q26" s="636">
        <f>'②浸透ﾄﾚﾝﾁ、浸透側溝抑制対策量計算'!E35</f>
        <v>0</v>
      </c>
      <c r="R26" s="636"/>
      <c r="S26" s="637" t="s">
        <v>422</v>
      </c>
      <c r="T26" s="638"/>
      <c r="U26" s="639">
        <f>'②浸透ﾄﾚﾝﾁ、浸透側溝抑制対策量計算'!E38</f>
        <v>0</v>
      </c>
      <c r="V26" s="636"/>
      <c r="W26" s="637" t="s">
        <v>423</v>
      </c>
      <c r="X26" s="638"/>
    </row>
    <row r="27" spans="1:24" x14ac:dyDescent="0.15">
      <c r="A27" s="681" t="s">
        <v>399</v>
      </c>
      <c r="B27" s="682"/>
      <c r="C27" s="682"/>
      <c r="D27" s="682"/>
      <c r="E27" s="682"/>
      <c r="F27" s="682"/>
      <c r="G27" s="682"/>
      <c r="H27" s="682"/>
      <c r="I27" s="682"/>
      <c r="J27" s="682"/>
      <c r="K27" s="682"/>
      <c r="L27" s="682"/>
      <c r="M27" s="682"/>
      <c r="N27" s="682"/>
      <c r="O27" s="682"/>
      <c r="P27" s="683"/>
      <c r="Q27" s="636">
        <f>'③浸透ます(正方形)対策量'!E57</f>
        <v>0</v>
      </c>
      <c r="R27" s="636"/>
      <c r="S27" s="637" t="s">
        <v>422</v>
      </c>
      <c r="T27" s="638"/>
      <c r="U27" s="639">
        <f>'③浸透ます(正方形)対策量'!E60</f>
        <v>0</v>
      </c>
      <c r="V27" s="636"/>
      <c r="W27" s="637" t="s">
        <v>423</v>
      </c>
      <c r="X27" s="638"/>
    </row>
    <row r="28" spans="1:24" ht="14.25" thickBot="1" x14ac:dyDescent="0.2">
      <c r="A28" s="640" t="s">
        <v>400</v>
      </c>
      <c r="B28" s="641"/>
      <c r="C28" s="641"/>
      <c r="D28" s="641"/>
      <c r="E28" s="641"/>
      <c r="F28" s="641"/>
      <c r="G28" s="641"/>
      <c r="H28" s="641"/>
      <c r="I28" s="641"/>
      <c r="J28" s="641"/>
      <c r="K28" s="641"/>
      <c r="L28" s="641"/>
      <c r="M28" s="641"/>
      <c r="N28" s="641"/>
      <c r="O28" s="641"/>
      <c r="P28" s="642"/>
      <c r="Q28" s="646">
        <f>'④浸透ます(円形)対策量 '!E57</f>
        <v>0</v>
      </c>
      <c r="R28" s="646"/>
      <c r="S28" s="637" t="s">
        <v>422</v>
      </c>
      <c r="T28" s="638"/>
      <c r="U28" s="647">
        <f>'④浸透ます(円形)対策量 '!E60</f>
        <v>0</v>
      </c>
      <c r="V28" s="646"/>
      <c r="W28" s="637" t="s">
        <v>423</v>
      </c>
      <c r="X28" s="638"/>
    </row>
    <row r="29" spans="1:24" x14ac:dyDescent="0.15">
      <c r="A29" s="643" t="s">
        <v>361</v>
      </c>
      <c r="B29" s="644"/>
      <c r="C29" s="644"/>
      <c r="D29" s="644"/>
      <c r="E29" s="644"/>
      <c r="F29" s="644"/>
      <c r="G29" s="644"/>
      <c r="H29" s="644"/>
      <c r="I29" s="644"/>
      <c r="J29" s="644"/>
      <c r="K29" s="644"/>
      <c r="L29" s="644"/>
      <c r="M29" s="644"/>
      <c r="N29" s="644"/>
      <c r="O29" s="644"/>
      <c r="P29" s="645"/>
      <c r="Q29" s="648"/>
      <c r="R29" s="649"/>
      <c r="S29" s="637" t="s">
        <v>422</v>
      </c>
      <c r="T29" s="637"/>
      <c r="U29" s="648"/>
      <c r="V29" s="649"/>
      <c r="W29" s="637" t="s">
        <v>423</v>
      </c>
      <c r="X29" s="638"/>
    </row>
    <row r="30" spans="1:24" x14ac:dyDescent="0.15">
      <c r="A30" s="652" t="s">
        <v>361</v>
      </c>
      <c r="B30" s="653"/>
      <c r="C30" s="653"/>
      <c r="D30" s="653"/>
      <c r="E30" s="653"/>
      <c r="F30" s="653"/>
      <c r="G30" s="653"/>
      <c r="H30" s="653"/>
      <c r="I30" s="653"/>
      <c r="J30" s="653"/>
      <c r="K30" s="653"/>
      <c r="L30" s="653"/>
      <c r="M30" s="653"/>
      <c r="N30" s="653"/>
      <c r="O30" s="653"/>
      <c r="P30" s="654"/>
      <c r="Q30" s="650"/>
      <c r="R30" s="651"/>
      <c r="S30" s="637" t="s">
        <v>422</v>
      </c>
      <c r="T30" s="637"/>
      <c r="U30" s="650"/>
      <c r="V30" s="651"/>
      <c r="W30" s="637" t="s">
        <v>423</v>
      </c>
      <c r="X30" s="638"/>
    </row>
    <row r="31" spans="1:24" ht="14.25" thickBot="1" x14ac:dyDescent="0.2">
      <c r="A31" s="659" t="s">
        <v>361</v>
      </c>
      <c r="B31" s="660"/>
      <c r="C31" s="660"/>
      <c r="D31" s="660"/>
      <c r="E31" s="660"/>
      <c r="F31" s="660"/>
      <c r="G31" s="660"/>
      <c r="H31" s="660"/>
      <c r="I31" s="660"/>
      <c r="J31" s="660"/>
      <c r="K31" s="660"/>
      <c r="L31" s="660"/>
      <c r="M31" s="660"/>
      <c r="N31" s="660"/>
      <c r="O31" s="660"/>
      <c r="P31" s="661"/>
      <c r="Q31" s="655"/>
      <c r="R31" s="656"/>
      <c r="S31" s="657" t="s">
        <v>422</v>
      </c>
      <c r="T31" s="657"/>
      <c r="U31" s="655"/>
      <c r="V31" s="656"/>
      <c r="W31" s="657" t="s">
        <v>423</v>
      </c>
      <c r="X31" s="658"/>
    </row>
    <row r="32" spans="1:24" x14ac:dyDescent="0.15">
      <c r="A32" s="388" t="s">
        <v>345</v>
      </c>
      <c r="B32" s="389"/>
      <c r="C32" s="389"/>
      <c r="D32" s="389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89"/>
      <c r="P32" s="390"/>
      <c r="Q32" s="666">
        <f>SUM(Q25:R31)</f>
        <v>0</v>
      </c>
      <c r="R32" s="667"/>
      <c r="S32" s="668" t="s">
        <v>422</v>
      </c>
      <c r="T32" s="360"/>
      <c r="U32" s="669">
        <f>SUM(U25:V31)</f>
        <v>0</v>
      </c>
      <c r="V32" s="670"/>
      <c r="W32" s="668" t="s">
        <v>423</v>
      </c>
      <c r="X32" s="360"/>
    </row>
    <row r="33" spans="1:24" x14ac:dyDescent="0.15">
      <c r="A33" s="44"/>
      <c r="B33" s="37"/>
      <c r="C33" s="37"/>
      <c r="D33" s="37"/>
      <c r="E33" s="37"/>
      <c r="F33" s="37"/>
      <c r="G33" s="37"/>
      <c r="H33" s="215"/>
      <c r="I33" s="215"/>
      <c r="J33" s="37"/>
      <c r="K33" s="216"/>
      <c r="L33" s="216"/>
      <c r="M33" s="37"/>
      <c r="N33" s="216"/>
      <c r="O33" s="216"/>
      <c r="P33" s="37"/>
      <c r="Q33" s="217"/>
      <c r="R33" s="217"/>
      <c r="S33" s="37"/>
      <c r="T33" s="37"/>
      <c r="U33" s="217"/>
      <c r="V33" s="217"/>
      <c r="W33" s="37"/>
      <c r="X33" s="37"/>
    </row>
    <row r="34" spans="1:24" x14ac:dyDescent="0.15">
      <c r="A34" s="32"/>
      <c r="B34" s="44"/>
      <c r="C34" s="44" t="s">
        <v>360</v>
      </c>
      <c r="D34" s="44"/>
      <c r="E34" s="44"/>
      <c r="F34" s="44"/>
      <c r="G34" s="44"/>
      <c r="H34" s="207"/>
      <c r="I34" s="207"/>
      <c r="J34" s="207"/>
      <c r="K34" s="207"/>
      <c r="L34" s="207"/>
      <c r="M34" s="207"/>
      <c r="N34" s="37"/>
      <c r="O34" s="37"/>
      <c r="P34" s="37"/>
      <c r="Q34" s="217"/>
      <c r="R34" s="217"/>
      <c r="S34" s="37"/>
      <c r="T34" s="37"/>
      <c r="U34" s="217"/>
      <c r="V34" s="217"/>
      <c r="W34" s="37"/>
      <c r="X34" s="37"/>
    </row>
    <row r="35" spans="1:24" x14ac:dyDescent="0.15">
      <c r="A35" s="32"/>
      <c r="B35" s="44"/>
      <c r="C35" s="44"/>
      <c r="D35" s="44"/>
      <c r="E35" s="44"/>
      <c r="F35" s="44"/>
      <c r="G35" s="44"/>
      <c r="H35" s="207"/>
      <c r="I35" s="207"/>
      <c r="J35" s="207"/>
      <c r="K35" s="207"/>
      <c r="L35" s="207"/>
      <c r="M35" s="207"/>
      <c r="N35" s="37"/>
      <c r="O35" s="37"/>
      <c r="P35" s="37"/>
      <c r="Q35" s="217"/>
      <c r="R35" s="217"/>
      <c r="S35" s="37"/>
      <c r="T35" s="37"/>
      <c r="U35" s="217"/>
      <c r="V35" s="217"/>
      <c r="W35" s="37"/>
      <c r="X35" s="37"/>
    </row>
    <row r="36" spans="1:24" x14ac:dyDescent="0.15">
      <c r="A36" s="25" t="s">
        <v>346</v>
      </c>
      <c r="B36" s="44"/>
      <c r="C36" s="44"/>
      <c r="D36" s="44"/>
      <c r="E36" s="44"/>
      <c r="F36" s="44"/>
      <c r="G36" s="44"/>
      <c r="H36" s="207"/>
      <c r="I36" s="207"/>
      <c r="J36" s="207"/>
      <c r="K36" s="207"/>
      <c r="L36" s="207"/>
      <c r="M36" s="207"/>
      <c r="N36" s="37"/>
      <c r="O36" s="37"/>
      <c r="P36" s="37"/>
      <c r="Q36" s="217"/>
      <c r="R36" s="217"/>
      <c r="S36" s="37"/>
      <c r="T36" s="37"/>
      <c r="U36" s="217"/>
      <c r="V36" s="217"/>
      <c r="W36" s="37"/>
      <c r="X36" s="37"/>
    </row>
    <row r="37" spans="1:24" x14ac:dyDescent="0.15">
      <c r="A37" s="32"/>
      <c r="B37" s="25" t="s">
        <v>347</v>
      </c>
      <c r="C37" s="32"/>
      <c r="D37" s="218"/>
      <c r="E37" s="32"/>
      <c r="F37" s="32"/>
      <c r="G37" s="32"/>
      <c r="H37" s="32"/>
      <c r="I37" s="32"/>
      <c r="J37" s="32"/>
      <c r="K37" s="32"/>
      <c r="L37" s="32"/>
      <c r="M37" s="219" t="s">
        <v>348</v>
      </c>
      <c r="N37" s="218" t="s">
        <v>114</v>
      </c>
      <c r="O37" s="32" t="s">
        <v>349</v>
      </c>
      <c r="P37" s="32"/>
      <c r="Q37" s="32"/>
      <c r="R37" s="32"/>
      <c r="S37" s="32"/>
      <c r="T37" s="32"/>
      <c r="U37" s="32"/>
      <c r="V37" s="32"/>
      <c r="W37" s="32"/>
      <c r="X37" s="32"/>
    </row>
    <row r="38" spans="1:24" x14ac:dyDescent="0.15">
      <c r="A38" s="32"/>
      <c r="B38" s="32"/>
      <c r="C38" s="32"/>
      <c r="D38" s="201" t="s">
        <v>114</v>
      </c>
      <c r="E38" s="619">
        <f>G10</f>
        <v>0</v>
      </c>
      <c r="F38" s="619"/>
      <c r="G38" s="619"/>
      <c r="H38" s="620" t="s">
        <v>422</v>
      </c>
      <c r="I38" s="620"/>
      <c r="J38" s="198" t="s">
        <v>350</v>
      </c>
      <c r="K38" s="198"/>
      <c r="L38" s="32"/>
      <c r="M38" s="32"/>
      <c r="N38" s="218" t="s">
        <v>114</v>
      </c>
      <c r="O38" s="684">
        <f>Q32+U32</f>
        <v>0</v>
      </c>
      <c r="P38" s="684"/>
      <c r="Q38" s="684"/>
      <c r="R38" s="620" t="s">
        <v>422</v>
      </c>
      <c r="S38" s="620"/>
      <c r="T38" s="32"/>
      <c r="U38" s="25" t="s">
        <v>351</v>
      </c>
      <c r="V38" s="32"/>
      <c r="W38" s="32"/>
      <c r="X38" s="32"/>
    </row>
    <row r="39" spans="1:24" ht="14.25" thickBot="1" x14ac:dyDescent="0.2">
      <c r="A39" s="32"/>
      <c r="B39" s="32"/>
      <c r="C39" s="32"/>
      <c r="D39" s="32"/>
      <c r="E39" s="32"/>
      <c r="F39" s="218"/>
      <c r="G39" s="218"/>
      <c r="H39" s="218"/>
      <c r="I39" s="218"/>
      <c r="J39" s="218"/>
      <c r="K39" s="202"/>
      <c r="L39" s="32"/>
      <c r="M39" s="25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</row>
    <row r="40" spans="1:24" ht="14.25" thickTop="1" x14ac:dyDescent="0.15">
      <c r="A40" s="47"/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1"/>
    </row>
    <row r="41" spans="1:24" ht="14.25" x14ac:dyDescent="0.15">
      <c r="A41" s="48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1"/>
      <c r="N41" s="51"/>
      <c r="O41" s="51"/>
      <c r="P41" s="51" t="s">
        <v>352</v>
      </c>
      <c r="Q41" s="51"/>
      <c r="R41" s="51"/>
      <c r="S41" s="685" t="str">
        <f>IF(G10&gt;O38,"①＞②","①＜②")</f>
        <v>①＜②</v>
      </c>
      <c r="T41" s="685"/>
      <c r="U41" s="51"/>
      <c r="V41" s="51"/>
      <c r="W41" s="51"/>
      <c r="X41" s="52"/>
    </row>
    <row r="42" spans="1:24" x14ac:dyDescent="0.15">
      <c r="A42" s="48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1"/>
      <c r="N42" s="51"/>
      <c r="O42" s="51"/>
      <c r="P42" s="51"/>
      <c r="Q42" s="50"/>
      <c r="R42" s="50"/>
      <c r="S42" s="50"/>
      <c r="T42" s="50"/>
      <c r="U42" s="50"/>
      <c r="V42" s="50"/>
      <c r="W42" s="50"/>
      <c r="X42" s="52"/>
    </row>
    <row r="43" spans="1:24" ht="21" x14ac:dyDescent="0.15">
      <c r="A43" s="53"/>
      <c r="B43" s="662" t="str">
        <f>IF(G10&gt;O38,"〇","")</f>
        <v/>
      </c>
      <c r="C43" s="663"/>
      <c r="D43" s="664" t="s">
        <v>353</v>
      </c>
      <c r="E43" s="664"/>
      <c r="F43" s="664"/>
      <c r="G43" s="664"/>
      <c r="H43" s="664"/>
      <c r="I43" s="664"/>
      <c r="J43" s="664"/>
      <c r="K43" s="664"/>
      <c r="L43" s="664"/>
      <c r="M43" s="662" t="str">
        <f>IF(G10&lt;O38,"〇","")</f>
        <v/>
      </c>
      <c r="N43" s="663"/>
      <c r="O43" s="664" t="s">
        <v>354</v>
      </c>
      <c r="P43" s="664"/>
      <c r="Q43" s="664"/>
      <c r="R43" s="664"/>
      <c r="S43" s="664"/>
      <c r="T43" s="664"/>
      <c r="U43" s="664"/>
      <c r="V43" s="664"/>
      <c r="W43" s="664"/>
      <c r="X43" s="665"/>
    </row>
    <row r="44" spans="1:24" x14ac:dyDescent="0.15">
      <c r="A44" s="53"/>
      <c r="B44" s="671"/>
      <c r="C44" s="671"/>
      <c r="D44" s="50"/>
      <c r="E44" s="50"/>
      <c r="F44" s="50"/>
      <c r="G44" s="50"/>
      <c r="H44" s="50"/>
      <c r="I44" s="50"/>
      <c r="J44" s="50"/>
      <c r="K44" s="50"/>
      <c r="L44" s="50"/>
      <c r="M44" s="671"/>
      <c r="N44" s="671"/>
      <c r="O44" s="50"/>
      <c r="P44" s="50"/>
      <c r="Q44" s="51"/>
      <c r="R44" s="51"/>
      <c r="S44" s="51"/>
      <c r="T44" s="51"/>
      <c r="U44" s="54"/>
      <c r="V44" s="54"/>
      <c r="W44" s="54"/>
      <c r="X44" s="52"/>
    </row>
    <row r="45" spans="1:24" x14ac:dyDescent="0.15">
      <c r="A45" s="53"/>
      <c r="B45" s="492" t="s">
        <v>355</v>
      </c>
      <c r="C45" s="492"/>
      <c r="D45" s="492"/>
      <c r="E45" s="492"/>
      <c r="F45" s="492"/>
      <c r="G45" s="492"/>
      <c r="H45" s="492"/>
      <c r="I45" s="492"/>
      <c r="J45" s="492"/>
      <c r="K45" s="492"/>
      <c r="L45" s="492"/>
      <c r="M45" s="51" t="s">
        <v>356</v>
      </c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2"/>
    </row>
    <row r="46" spans="1:24" x14ac:dyDescent="0.15">
      <c r="A46" s="55"/>
      <c r="B46" s="50" t="s">
        <v>357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2"/>
    </row>
    <row r="47" spans="1:24" ht="14.25" thickBot="1" x14ac:dyDescent="0.2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8"/>
    </row>
    <row r="48" spans="1:24" ht="14.25" thickTop="1" x14ac:dyDescent="0.15"/>
  </sheetData>
  <mergeCells count="74">
    <mergeCell ref="B44:C44"/>
    <mergeCell ref="M44:N44"/>
    <mergeCell ref="B45:L45"/>
    <mergeCell ref="S1:X1"/>
    <mergeCell ref="G6:H6"/>
    <mergeCell ref="A24:P24"/>
    <mergeCell ref="A25:P25"/>
    <mergeCell ref="A26:P26"/>
    <mergeCell ref="A27:P27"/>
    <mergeCell ref="E38:G38"/>
    <mergeCell ref="H38:I38"/>
    <mergeCell ref="O38:Q38"/>
    <mergeCell ref="R38:S38"/>
    <mergeCell ref="S41:T41"/>
    <mergeCell ref="B43:C43"/>
    <mergeCell ref="D43:L43"/>
    <mergeCell ref="M43:N43"/>
    <mergeCell ref="O43:X43"/>
    <mergeCell ref="A32:P32"/>
    <mergeCell ref="Q32:R32"/>
    <mergeCell ref="S32:T32"/>
    <mergeCell ref="U32:V32"/>
    <mergeCell ref="W32:X32"/>
    <mergeCell ref="Q31:R31"/>
    <mergeCell ref="S31:T31"/>
    <mergeCell ref="U31:V31"/>
    <mergeCell ref="W31:X31"/>
    <mergeCell ref="A31:P31"/>
    <mergeCell ref="Q30:R30"/>
    <mergeCell ref="S30:T30"/>
    <mergeCell ref="U30:V30"/>
    <mergeCell ref="W30:X30"/>
    <mergeCell ref="A30:P30"/>
    <mergeCell ref="A28:P28"/>
    <mergeCell ref="A29:P29"/>
    <mergeCell ref="S27:T27"/>
    <mergeCell ref="U27:V27"/>
    <mergeCell ref="W27:X27"/>
    <mergeCell ref="Q28:R28"/>
    <mergeCell ref="S28:T28"/>
    <mergeCell ref="Q27:R27"/>
    <mergeCell ref="U28:V28"/>
    <mergeCell ref="W28:X28"/>
    <mergeCell ref="Q29:R29"/>
    <mergeCell ref="S29:T29"/>
    <mergeCell ref="U29:V29"/>
    <mergeCell ref="W29:X29"/>
    <mergeCell ref="U25:V25"/>
    <mergeCell ref="W25:X25"/>
    <mergeCell ref="Q26:R26"/>
    <mergeCell ref="S26:T26"/>
    <mergeCell ref="U26:V26"/>
    <mergeCell ref="W26:X26"/>
    <mergeCell ref="Q25:R25"/>
    <mergeCell ref="S25:T25"/>
    <mergeCell ref="G10:I10"/>
    <mergeCell ref="J10:K10"/>
    <mergeCell ref="Q24:T24"/>
    <mergeCell ref="U24:X24"/>
    <mergeCell ref="B13:H13"/>
    <mergeCell ref="I13:J13"/>
    <mergeCell ref="M13:S13"/>
    <mergeCell ref="T13:U13"/>
    <mergeCell ref="B14:H14"/>
    <mergeCell ref="I14:J14"/>
    <mergeCell ref="M14:S14"/>
    <mergeCell ref="T14:U14"/>
    <mergeCell ref="G9:I9"/>
    <mergeCell ref="J9:K9"/>
    <mergeCell ref="A1:L1"/>
    <mergeCell ref="A3:X3"/>
    <mergeCell ref="B6:E6"/>
    <mergeCell ref="G7:H7"/>
    <mergeCell ref="G8:X8"/>
  </mergeCells>
  <phoneticPr fontId="2"/>
  <hyperlinks>
    <hyperlink ref="C21" r:id="rId1" xr:uid="{9C522384-C4E5-4EB7-ABCA-5135C4FACBDC}"/>
  </hyperlinks>
  <pageMargins left="0.70866141732283472" right="0.70866141732283472" top="0.74803149606299213" bottom="0.74803149606299213" header="0.31496062992125984" footer="0.31496062992125984"/>
  <pageSetup paperSize="9" scale="95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2C2C-6F0A-46AD-9ACF-E17DDA5DD7F6}">
  <sheetPr>
    <pageSetUpPr fitToPage="1"/>
  </sheetPr>
  <dimension ref="A1:AV46"/>
  <sheetViews>
    <sheetView view="pageBreakPreview" zoomScaleNormal="100" zoomScaleSheetLayoutView="100" workbookViewId="0">
      <selection activeCell="M41" sqref="M41:N41"/>
    </sheetView>
  </sheetViews>
  <sheetFormatPr defaultColWidth="8.75" defaultRowHeight="13.5" x14ac:dyDescent="0.15"/>
  <cols>
    <col min="1" max="24" width="3.875" style="148" customWidth="1"/>
    <col min="25" max="25" width="8.75" style="148"/>
    <col min="26" max="49" width="3.875" style="148" customWidth="1"/>
    <col min="50" max="16384" width="8.75" style="148"/>
  </cols>
  <sheetData>
    <row r="1" spans="1:48" ht="14.25" x14ac:dyDescent="0.15">
      <c r="A1" s="621" t="s">
        <v>328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46"/>
      <c r="N1" s="46"/>
      <c r="O1" s="46"/>
      <c r="P1" s="46"/>
      <c r="Q1" s="46"/>
      <c r="R1" s="46"/>
      <c r="S1" s="672" t="s">
        <v>370</v>
      </c>
      <c r="T1" s="673"/>
      <c r="U1" s="673"/>
      <c r="V1" s="673"/>
      <c r="W1" s="673"/>
      <c r="X1" s="674"/>
    </row>
    <row r="2" spans="1:48" x14ac:dyDescent="0.15">
      <c r="A2" s="32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</row>
    <row r="3" spans="1:48" x14ac:dyDescent="0.15">
      <c r="A3" s="622" t="s">
        <v>464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  <c r="Q3" s="622"/>
      <c r="R3" s="622"/>
      <c r="S3" s="622"/>
      <c r="T3" s="622"/>
      <c r="U3" s="622"/>
      <c r="V3" s="622"/>
      <c r="W3" s="622"/>
      <c r="X3" s="622"/>
    </row>
    <row r="4" spans="1:48" x14ac:dyDescent="0.15">
      <c r="A4" s="32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199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</row>
    <row r="5" spans="1:48" x14ac:dyDescent="0.15">
      <c r="A5" s="25" t="s">
        <v>331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25"/>
      <c r="S5" s="25"/>
      <c r="T5" s="25"/>
      <c r="U5" s="25"/>
      <c r="V5" s="25"/>
      <c r="W5" s="25"/>
      <c r="X5" s="25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</row>
    <row r="6" spans="1:48" x14ac:dyDescent="0.15">
      <c r="A6" s="25"/>
      <c r="B6" s="198" t="s">
        <v>332</v>
      </c>
      <c r="C6" s="198"/>
      <c r="D6" s="198"/>
      <c r="E6" s="32"/>
      <c r="F6" s="201" t="s">
        <v>114</v>
      </c>
      <c r="G6" s="44" t="s">
        <v>454</v>
      </c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Z6" s="198"/>
      <c r="AA6" s="198"/>
      <c r="AB6" s="198"/>
      <c r="AC6" s="44"/>
      <c r="AD6" s="45"/>
      <c r="AE6" s="508"/>
      <c r="AF6" s="508"/>
      <c r="AG6" s="508"/>
      <c r="AH6" s="508"/>
      <c r="AI6" s="508"/>
      <c r="AJ6" s="508"/>
      <c r="AK6" s="508"/>
      <c r="AL6" s="508"/>
      <c r="AM6" s="508"/>
      <c r="AN6" s="508"/>
      <c r="AO6" s="508"/>
      <c r="AP6" s="508"/>
      <c r="AQ6" s="508"/>
      <c r="AR6" s="508"/>
      <c r="AS6" s="508"/>
      <c r="AT6" s="508"/>
      <c r="AU6" s="508"/>
      <c r="AV6" s="508"/>
    </row>
    <row r="7" spans="1:48" x14ac:dyDescent="0.15">
      <c r="A7" s="25"/>
      <c r="B7" s="32"/>
      <c r="C7" s="32"/>
      <c r="D7" s="32"/>
      <c r="E7" s="32"/>
      <c r="F7" s="201" t="s">
        <v>114</v>
      </c>
      <c r="G7" s="694">
        <f>I12</f>
        <v>0</v>
      </c>
      <c r="H7" s="694"/>
      <c r="I7" s="223" t="s">
        <v>373</v>
      </c>
      <c r="J7" s="695" t="e">
        <f>T12</f>
        <v>#VALUE!</v>
      </c>
      <c r="K7" s="695"/>
      <c r="L7" s="687" t="s">
        <v>421</v>
      </c>
      <c r="M7" s="687"/>
      <c r="N7" s="33"/>
      <c r="O7" s="198"/>
      <c r="P7" s="198"/>
      <c r="Q7" s="198"/>
      <c r="R7" s="25"/>
      <c r="S7" s="25"/>
      <c r="T7" s="25"/>
      <c r="U7" s="25"/>
      <c r="V7" s="25"/>
      <c r="W7" s="25"/>
      <c r="X7" s="25"/>
      <c r="Z7" s="44"/>
      <c r="AA7" s="44"/>
      <c r="AB7" s="44"/>
      <c r="AC7" s="44"/>
      <c r="AD7" s="45"/>
      <c r="AE7" s="691"/>
      <c r="AF7" s="691"/>
      <c r="AG7" s="691"/>
      <c r="AH7" s="692"/>
      <c r="AI7" s="692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</row>
    <row r="8" spans="1:48" x14ac:dyDescent="0.15">
      <c r="A8" s="25"/>
      <c r="B8" s="32"/>
      <c r="C8" s="32"/>
      <c r="D8" s="32"/>
      <c r="E8" s="32"/>
      <c r="F8" s="201" t="s">
        <v>114</v>
      </c>
      <c r="G8" s="686" t="e">
        <f>G7-J7</f>
        <v>#VALUE!</v>
      </c>
      <c r="H8" s="686"/>
      <c r="I8" s="687" t="s">
        <v>421</v>
      </c>
      <c r="J8" s="687"/>
      <c r="K8" s="201"/>
      <c r="L8" s="198"/>
      <c r="M8" s="202"/>
      <c r="N8" s="202"/>
      <c r="O8" s="198"/>
      <c r="P8" s="198"/>
      <c r="Q8" s="198"/>
      <c r="R8" s="25"/>
      <c r="S8" s="25"/>
      <c r="T8" s="25"/>
      <c r="U8" s="25"/>
      <c r="V8" s="25"/>
      <c r="W8" s="25"/>
      <c r="X8" s="25"/>
      <c r="Z8" s="44"/>
      <c r="AA8" s="44"/>
      <c r="AB8" s="44"/>
      <c r="AC8" s="44"/>
      <c r="AD8" s="45"/>
      <c r="AE8" s="203"/>
      <c r="AF8" s="203"/>
      <c r="AG8" s="203"/>
      <c r="AH8" s="200"/>
      <c r="AI8" s="200"/>
      <c r="AJ8" s="198"/>
      <c r="AK8" s="198"/>
      <c r="AL8" s="198"/>
      <c r="AM8" s="198"/>
      <c r="AN8" s="198"/>
      <c r="AO8" s="198"/>
      <c r="AP8" s="198"/>
      <c r="AQ8" s="198"/>
      <c r="AR8" s="198"/>
      <c r="AS8" s="198"/>
      <c r="AT8" s="198"/>
      <c r="AU8" s="198"/>
      <c r="AV8" s="198"/>
    </row>
    <row r="9" spans="1:48" x14ac:dyDescent="0.15">
      <c r="A9" s="25"/>
      <c r="B9" s="32"/>
      <c r="C9" s="32"/>
      <c r="D9" s="32"/>
      <c r="E9" s="32"/>
      <c r="F9" s="201" t="s">
        <v>114</v>
      </c>
      <c r="G9" s="686" t="e">
        <f>ROUND(G8*60*60,5)</f>
        <v>#VALUE!</v>
      </c>
      <c r="H9" s="686"/>
      <c r="I9" s="620" t="s">
        <v>422</v>
      </c>
      <c r="J9" s="620"/>
      <c r="N9" s="198"/>
      <c r="O9" s="198"/>
      <c r="P9" s="198"/>
      <c r="Q9" s="198"/>
      <c r="R9" s="25"/>
      <c r="S9" s="25"/>
      <c r="T9" s="25"/>
      <c r="U9" s="25"/>
      <c r="V9" s="25"/>
      <c r="W9" s="25"/>
      <c r="X9" s="25"/>
      <c r="Z9" s="44"/>
      <c r="AA9" s="44"/>
      <c r="AB9" s="44"/>
      <c r="AC9" s="44"/>
      <c r="AD9" s="45"/>
      <c r="AE9" s="691"/>
      <c r="AF9" s="691"/>
      <c r="AG9" s="691"/>
      <c r="AH9" s="692"/>
      <c r="AI9" s="692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</row>
    <row r="10" spans="1:48" x14ac:dyDescent="0.15">
      <c r="A10" s="25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198"/>
      <c r="Q10" s="198"/>
      <c r="R10" s="25"/>
      <c r="S10" s="25"/>
      <c r="T10" s="25"/>
      <c r="U10" s="25"/>
      <c r="V10" s="25"/>
      <c r="W10" s="25"/>
      <c r="X10" s="25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198"/>
      <c r="AO10" s="198"/>
      <c r="AP10" s="198"/>
      <c r="AQ10" s="198"/>
      <c r="AR10" s="198"/>
      <c r="AS10" s="198"/>
      <c r="AT10" s="198"/>
      <c r="AU10" s="198"/>
      <c r="AV10" s="198"/>
    </row>
    <row r="11" spans="1:48" x14ac:dyDescent="0.15">
      <c r="A11" s="32"/>
      <c r="B11" s="204" t="s">
        <v>333</v>
      </c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45"/>
      <c r="X11" s="205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45"/>
      <c r="AV11" s="210"/>
    </row>
    <row r="12" spans="1:48" x14ac:dyDescent="0.15">
      <c r="A12" s="32"/>
      <c r="B12" s="626" t="s">
        <v>371</v>
      </c>
      <c r="C12" s="626"/>
      <c r="D12" s="626"/>
      <c r="E12" s="626"/>
      <c r="F12" s="626"/>
      <c r="G12" s="626"/>
      <c r="H12" s="626"/>
      <c r="I12" s="688">
        <f>調整区域!AL54</f>
        <v>0</v>
      </c>
      <c r="J12" s="688"/>
      <c r="K12" s="620" t="s">
        <v>421</v>
      </c>
      <c r="L12" s="620"/>
      <c r="M12" s="630" t="s">
        <v>372</v>
      </c>
      <c r="N12" s="630"/>
      <c r="O12" s="630"/>
      <c r="P12" s="630"/>
      <c r="Q12" s="630"/>
      <c r="R12" s="630"/>
      <c r="S12" s="630"/>
      <c r="T12" s="689" t="e">
        <f>調整区域!AH54</f>
        <v>#VALUE!</v>
      </c>
      <c r="U12" s="689"/>
      <c r="V12" s="620" t="s">
        <v>421</v>
      </c>
      <c r="W12" s="620"/>
      <c r="X12" s="205"/>
      <c r="Z12" s="626"/>
      <c r="AA12" s="626"/>
      <c r="AB12" s="626"/>
      <c r="AC12" s="626"/>
      <c r="AD12" s="626"/>
      <c r="AE12" s="626"/>
      <c r="AF12" s="626"/>
      <c r="AG12" s="693"/>
      <c r="AH12" s="693"/>
      <c r="AI12" s="200"/>
      <c r="AJ12" s="44"/>
      <c r="AK12" s="630"/>
      <c r="AL12" s="630"/>
      <c r="AM12" s="630"/>
      <c r="AN12" s="630"/>
      <c r="AO12" s="630"/>
      <c r="AP12" s="630"/>
      <c r="AQ12" s="630"/>
      <c r="AR12" s="690"/>
      <c r="AS12" s="690"/>
      <c r="AT12" s="44"/>
      <c r="AU12" s="44"/>
      <c r="AV12" s="210"/>
    </row>
    <row r="13" spans="1:48" x14ac:dyDescent="0.15">
      <c r="A13" s="32"/>
      <c r="B13" s="208"/>
      <c r="C13" s="208"/>
      <c r="D13" s="208"/>
      <c r="E13" s="208"/>
      <c r="F13" s="208"/>
      <c r="G13" s="208"/>
      <c r="H13" s="208"/>
      <c r="I13" s="208"/>
      <c r="J13" s="208"/>
      <c r="K13" s="209"/>
      <c r="L13" s="208"/>
      <c r="M13" s="208"/>
      <c r="N13" s="208"/>
      <c r="O13" s="209"/>
      <c r="P13" s="209"/>
      <c r="Q13" s="209"/>
      <c r="R13" s="209"/>
      <c r="S13" s="209"/>
      <c r="T13" s="209"/>
      <c r="U13" s="209"/>
      <c r="V13" s="209"/>
      <c r="W13" s="210"/>
      <c r="X13" s="205"/>
      <c r="Z13" s="44"/>
      <c r="AA13" s="44"/>
      <c r="AB13" s="44"/>
      <c r="AC13" s="44"/>
      <c r="AD13" s="44"/>
      <c r="AE13" s="44"/>
      <c r="AF13" s="44"/>
      <c r="AG13" s="44"/>
      <c r="AH13" s="44"/>
      <c r="AI13" s="210"/>
      <c r="AJ13" s="44"/>
      <c r="AK13" s="44"/>
      <c r="AL13" s="44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</row>
    <row r="14" spans="1:48" x14ac:dyDescent="0.15">
      <c r="A14" s="25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25"/>
      <c r="S14" s="25"/>
      <c r="T14" s="25"/>
      <c r="U14" s="25"/>
      <c r="V14" s="25"/>
      <c r="W14" s="25"/>
      <c r="X14" s="25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</row>
    <row r="15" spans="1:48" x14ac:dyDescent="0.15">
      <c r="A15" s="25" t="s">
        <v>338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25"/>
      <c r="S15" s="25"/>
      <c r="T15" s="25"/>
      <c r="U15" s="25"/>
      <c r="V15" s="25"/>
      <c r="W15" s="25"/>
      <c r="X15" s="25"/>
    </row>
    <row r="16" spans="1:48" x14ac:dyDescent="0.15">
      <c r="A16" s="32"/>
      <c r="B16" s="32" t="s">
        <v>429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</row>
    <row r="17" spans="1:24" x14ac:dyDescent="0.15">
      <c r="A17" s="32"/>
      <c r="B17" s="32" t="s">
        <v>427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</row>
    <row r="18" spans="1:24" x14ac:dyDescent="0.15">
      <c r="A18" s="32"/>
      <c r="B18" s="211" t="s">
        <v>339</v>
      </c>
      <c r="C18" s="212"/>
      <c r="D18" s="212" t="s">
        <v>340</v>
      </c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197"/>
      <c r="T18" s="32"/>
      <c r="U18" s="32"/>
      <c r="V18" s="32"/>
      <c r="W18" s="32"/>
      <c r="X18" s="32"/>
    </row>
    <row r="19" spans="1:24" x14ac:dyDescent="0.15">
      <c r="A19" s="32"/>
      <c r="B19" s="213"/>
      <c r="C19" s="225" t="s">
        <v>428</v>
      </c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196"/>
      <c r="T19" s="32"/>
      <c r="U19" s="32"/>
      <c r="V19" s="32"/>
      <c r="W19" s="32"/>
      <c r="X19" s="32"/>
    </row>
    <row r="20" spans="1:24" x14ac:dyDescent="0.1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</row>
    <row r="21" spans="1:24" x14ac:dyDescent="0.15">
      <c r="A21" s="32" t="s">
        <v>341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</row>
    <row r="22" spans="1:24" x14ac:dyDescent="0.15">
      <c r="A22" s="348" t="s">
        <v>342</v>
      </c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349"/>
      <c r="Q22" s="348" t="s">
        <v>343</v>
      </c>
      <c r="R22" s="625"/>
      <c r="S22" s="625"/>
      <c r="T22" s="349"/>
      <c r="U22" s="348" t="s">
        <v>344</v>
      </c>
      <c r="V22" s="625"/>
      <c r="W22" s="625"/>
      <c r="X22" s="349"/>
    </row>
    <row r="23" spans="1:24" x14ac:dyDescent="0.15">
      <c r="A23" s="677" t="s">
        <v>398</v>
      </c>
      <c r="B23" s="678"/>
      <c r="C23" s="678"/>
      <c r="D23" s="678"/>
      <c r="E23" s="678"/>
      <c r="F23" s="678"/>
      <c r="G23" s="678"/>
      <c r="H23" s="678"/>
      <c r="I23" s="678"/>
      <c r="J23" s="678"/>
      <c r="K23" s="678"/>
      <c r="L23" s="678"/>
      <c r="M23" s="678"/>
      <c r="N23" s="678"/>
      <c r="O23" s="678"/>
      <c r="P23" s="679"/>
      <c r="Q23" s="633">
        <f>①透水性舗装対策量!E30</f>
        <v>0</v>
      </c>
      <c r="R23" s="633"/>
      <c r="S23" s="634" t="s">
        <v>422</v>
      </c>
      <c r="T23" s="635"/>
      <c r="U23" s="632">
        <f>①透水性舗装対策量!E33</f>
        <v>0</v>
      </c>
      <c r="V23" s="633"/>
      <c r="W23" s="634" t="s">
        <v>423</v>
      </c>
      <c r="X23" s="635"/>
    </row>
    <row r="24" spans="1:24" x14ac:dyDescent="0.15">
      <c r="A24" s="680" t="s">
        <v>397</v>
      </c>
      <c r="B24" s="637"/>
      <c r="C24" s="637"/>
      <c r="D24" s="637"/>
      <c r="E24" s="637"/>
      <c r="F24" s="637"/>
      <c r="G24" s="637"/>
      <c r="H24" s="637"/>
      <c r="I24" s="637"/>
      <c r="J24" s="637"/>
      <c r="K24" s="637"/>
      <c r="L24" s="637"/>
      <c r="M24" s="637"/>
      <c r="N24" s="637"/>
      <c r="O24" s="637"/>
      <c r="P24" s="638"/>
      <c r="Q24" s="636">
        <f>'②浸透ﾄﾚﾝﾁ、浸透側溝抑制対策量計算'!E35</f>
        <v>0</v>
      </c>
      <c r="R24" s="636"/>
      <c r="S24" s="637" t="s">
        <v>422</v>
      </c>
      <c r="T24" s="638"/>
      <c r="U24" s="639">
        <f>'②浸透ﾄﾚﾝﾁ、浸透側溝抑制対策量計算'!E38</f>
        <v>0</v>
      </c>
      <c r="V24" s="636"/>
      <c r="W24" s="637" t="s">
        <v>423</v>
      </c>
      <c r="X24" s="638"/>
    </row>
    <row r="25" spans="1:24" x14ac:dyDescent="0.15">
      <c r="A25" s="681" t="s">
        <v>399</v>
      </c>
      <c r="B25" s="682"/>
      <c r="C25" s="682"/>
      <c r="D25" s="682"/>
      <c r="E25" s="682"/>
      <c r="F25" s="682"/>
      <c r="G25" s="682"/>
      <c r="H25" s="682"/>
      <c r="I25" s="682"/>
      <c r="J25" s="682"/>
      <c r="K25" s="682"/>
      <c r="L25" s="682"/>
      <c r="M25" s="682"/>
      <c r="N25" s="682"/>
      <c r="O25" s="682"/>
      <c r="P25" s="683"/>
      <c r="Q25" s="636">
        <f>'③浸透ます(正方形)対策量'!E57</f>
        <v>0</v>
      </c>
      <c r="R25" s="636"/>
      <c r="S25" s="637" t="s">
        <v>422</v>
      </c>
      <c r="T25" s="638"/>
      <c r="U25" s="639">
        <f>'③浸透ます(正方形)対策量'!E60</f>
        <v>0</v>
      </c>
      <c r="V25" s="636"/>
      <c r="W25" s="637" t="s">
        <v>423</v>
      </c>
      <c r="X25" s="638"/>
    </row>
    <row r="26" spans="1:24" ht="14.25" thickBot="1" x14ac:dyDescent="0.2">
      <c r="A26" s="640" t="s">
        <v>400</v>
      </c>
      <c r="B26" s="641"/>
      <c r="C26" s="641"/>
      <c r="D26" s="641"/>
      <c r="E26" s="641"/>
      <c r="F26" s="641"/>
      <c r="G26" s="641"/>
      <c r="H26" s="641"/>
      <c r="I26" s="641"/>
      <c r="J26" s="641"/>
      <c r="K26" s="641"/>
      <c r="L26" s="641"/>
      <c r="M26" s="641"/>
      <c r="N26" s="641"/>
      <c r="O26" s="641"/>
      <c r="P26" s="642"/>
      <c r="Q26" s="646">
        <f>'④浸透ます(円形)対策量 '!E57</f>
        <v>0</v>
      </c>
      <c r="R26" s="646"/>
      <c r="S26" s="637" t="s">
        <v>422</v>
      </c>
      <c r="T26" s="638"/>
      <c r="U26" s="647">
        <f>'④浸透ます(円形)対策量 '!E60</f>
        <v>0</v>
      </c>
      <c r="V26" s="646"/>
      <c r="W26" s="637" t="s">
        <v>423</v>
      </c>
      <c r="X26" s="638"/>
    </row>
    <row r="27" spans="1:24" x14ac:dyDescent="0.15">
      <c r="A27" s="643" t="s">
        <v>361</v>
      </c>
      <c r="B27" s="644"/>
      <c r="C27" s="644"/>
      <c r="D27" s="644"/>
      <c r="E27" s="644"/>
      <c r="F27" s="644"/>
      <c r="G27" s="644"/>
      <c r="H27" s="644"/>
      <c r="I27" s="644"/>
      <c r="J27" s="644"/>
      <c r="K27" s="644"/>
      <c r="L27" s="644"/>
      <c r="M27" s="644"/>
      <c r="N27" s="644"/>
      <c r="O27" s="644"/>
      <c r="P27" s="645"/>
      <c r="Q27" s="648"/>
      <c r="R27" s="649"/>
      <c r="S27" s="637" t="s">
        <v>422</v>
      </c>
      <c r="T27" s="637"/>
      <c r="U27" s="648"/>
      <c r="V27" s="649"/>
      <c r="W27" s="637" t="s">
        <v>423</v>
      </c>
      <c r="X27" s="638"/>
    </row>
    <row r="28" spans="1:24" x14ac:dyDescent="0.15">
      <c r="A28" s="652" t="s">
        <v>361</v>
      </c>
      <c r="B28" s="653"/>
      <c r="C28" s="653"/>
      <c r="D28" s="653"/>
      <c r="E28" s="653"/>
      <c r="F28" s="653"/>
      <c r="G28" s="653"/>
      <c r="H28" s="653"/>
      <c r="I28" s="653"/>
      <c r="J28" s="653"/>
      <c r="K28" s="653"/>
      <c r="L28" s="653"/>
      <c r="M28" s="653"/>
      <c r="N28" s="653"/>
      <c r="O28" s="653"/>
      <c r="P28" s="654"/>
      <c r="Q28" s="650"/>
      <c r="R28" s="651"/>
      <c r="S28" s="637" t="s">
        <v>422</v>
      </c>
      <c r="T28" s="637"/>
      <c r="U28" s="650"/>
      <c r="V28" s="651"/>
      <c r="W28" s="637" t="s">
        <v>423</v>
      </c>
      <c r="X28" s="638"/>
    </row>
    <row r="29" spans="1:24" ht="14.25" thickBot="1" x14ac:dyDescent="0.2">
      <c r="A29" s="659" t="s">
        <v>361</v>
      </c>
      <c r="B29" s="660"/>
      <c r="C29" s="660"/>
      <c r="D29" s="660"/>
      <c r="E29" s="660"/>
      <c r="F29" s="660"/>
      <c r="G29" s="660"/>
      <c r="H29" s="660"/>
      <c r="I29" s="660"/>
      <c r="J29" s="660"/>
      <c r="K29" s="660"/>
      <c r="L29" s="660"/>
      <c r="M29" s="660"/>
      <c r="N29" s="660"/>
      <c r="O29" s="660"/>
      <c r="P29" s="661"/>
      <c r="Q29" s="655"/>
      <c r="R29" s="656"/>
      <c r="S29" s="657" t="s">
        <v>422</v>
      </c>
      <c r="T29" s="657"/>
      <c r="U29" s="655"/>
      <c r="V29" s="656"/>
      <c r="W29" s="657" t="s">
        <v>423</v>
      </c>
      <c r="X29" s="658"/>
    </row>
    <row r="30" spans="1:24" x14ac:dyDescent="0.15">
      <c r="A30" s="388" t="s">
        <v>345</v>
      </c>
      <c r="B30" s="389"/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90"/>
      <c r="Q30" s="666">
        <f>SUM(Q23:R29)</f>
        <v>0</v>
      </c>
      <c r="R30" s="667"/>
      <c r="S30" s="668" t="s">
        <v>422</v>
      </c>
      <c r="T30" s="360"/>
      <c r="U30" s="669">
        <f>SUM(U23:V29)</f>
        <v>0</v>
      </c>
      <c r="V30" s="670"/>
      <c r="W30" s="668" t="s">
        <v>423</v>
      </c>
      <c r="X30" s="360"/>
    </row>
    <row r="31" spans="1:24" x14ac:dyDescent="0.15">
      <c r="A31" s="44"/>
      <c r="B31" s="37"/>
      <c r="C31" s="37"/>
      <c r="D31" s="37"/>
      <c r="E31" s="37"/>
      <c r="F31" s="37"/>
      <c r="G31" s="37"/>
      <c r="H31" s="215"/>
      <c r="I31" s="215"/>
      <c r="J31" s="37"/>
      <c r="K31" s="216"/>
      <c r="L31" s="216"/>
      <c r="M31" s="37"/>
      <c r="N31" s="216"/>
      <c r="O31" s="216"/>
      <c r="P31" s="37"/>
      <c r="Q31" s="217"/>
      <c r="R31" s="217"/>
      <c r="S31" s="37"/>
      <c r="T31" s="37"/>
      <c r="U31" s="217"/>
      <c r="V31" s="217"/>
      <c r="W31" s="37"/>
      <c r="X31" s="37"/>
    </row>
    <row r="32" spans="1:24" x14ac:dyDescent="0.15">
      <c r="A32" s="32"/>
      <c r="B32" s="44"/>
      <c r="C32" s="44" t="s">
        <v>360</v>
      </c>
      <c r="D32" s="44"/>
      <c r="E32" s="44"/>
      <c r="F32" s="44"/>
      <c r="G32" s="44"/>
      <c r="H32" s="207"/>
      <c r="I32" s="207"/>
      <c r="J32" s="207"/>
      <c r="K32" s="207"/>
      <c r="L32" s="207"/>
      <c r="M32" s="207"/>
      <c r="N32" s="37"/>
      <c r="O32" s="37"/>
      <c r="P32" s="37"/>
      <c r="Q32" s="217"/>
      <c r="R32" s="217"/>
      <c r="S32" s="37"/>
      <c r="T32" s="37"/>
      <c r="U32" s="217"/>
      <c r="V32" s="217"/>
      <c r="W32" s="37"/>
      <c r="X32" s="37"/>
    </row>
    <row r="33" spans="1:24" x14ac:dyDescent="0.15">
      <c r="A33" s="32"/>
      <c r="B33" s="44"/>
      <c r="C33" s="44"/>
      <c r="D33" s="44"/>
      <c r="E33" s="44"/>
      <c r="F33" s="44"/>
      <c r="G33" s="44"/>
      <c r="H33" s="207"/>
      <c r="I33" s="207"/>
      <c r="J33" s="207"/>
      <c r="K33" s="207"/>
      <c r="L33" s="207"/>
      <c r="M33" s="207"/>
      <c r="N33" s="37"/>
      <c r="O33" s="37"/>
      <c r="P33" s="37"/>
      <c r="Q33" s="217"/>
      <c r="R33" s="217"/>
      <c r="S33" s="37"/>
      <c r="T33" s="37"/>
      <c r="U33" s="217"/>
      <c r="V33" s="217"/>
      <c r="W33" s="37"/>
      <c r="X33" s="37"/>
    </row>
    <row r="34" spans="1:24" x14ac:dyDescent="0.15">
      <c r="A34" s="25" t="s">
        <v>346</v>
      </c>
      <c r="B34" s="44"/>
      <c r="C34" s="44"/>
      <c r="D34" s="44"/>
      <c r="E34" s="44"/>
      <c r="F34" s="44"/>
      <c r="G34" s="44"/>
      <c r="H34" s="207"/>
      <c r="I34" s="207"/>
      <c r="J34" s="207"/>
      <c r="K34" s="207"/>
      <c r="L34" s="207"/>
      <c r="M34" s="207"/>
      <c r="N34" s="37"/>
      <c r="O34" s="37"/>
      <c r="P34" s="37"/>
      <c r="Q34" s="217"/>
      <c r="R34" s="217"/>
      <c r="S34" s="37"/>
      <c r="T34" s="37"/>
      <c r="U34" s="217"/>
      <c r="V34" s="217"/>
      <c r="W34" s="37"/>
      <c r="X34" s="37"/>
    </row>
    <row r="35" spans="1:24" x14ac:dyDescent="0.15">
      <c r="A35" s="32"/>
      <c r="B35" s="25" t="s">
        <v>347</v>
      </c>
      <c r="C35" s="32"/>
      <c r="D35" s="218"/>
      <c r="E35" s="32"/>
      <c r="F35" s="32"/>
      <c r="G35" s="32"/>
      <c r="H35" s="32"/>
      <c r="I35" s="32"/>
      <c r="J35" s="32"/>
      <c r="K35" s="32"/>
      <c r="L35" s="32"/>
      <c r="M35" s="219" t="s">
        <v>348</v>
      </c>
      <c r="N35" s="218" t="s">
        <v>114</v>
      </c>
      <c r="O35" s="32" t="s">
        <v>349</v>
      </c>
      <c r="P35" s="32"/>
      <c r="Q35" s="32"/>
      <c r="R35" s="32"/>
      <c r="S35" s="32"/>
      <c r="T35" s="32"/>
      <c r="U35" s="32"/>
      <c r="V35" s="32"/>
      <c r="W35" s="32"/>
      <c r="X35" s="32"/>
    </row>
    <row r="36" spans="1:24" x14ac:dyDescent="0.15">
      <c r="A36" s="32"/>
      <c r="B36" s="32"/>
      <c r="C36" s="32"/>
      <c r="D36" s="201" t="s">
        <v>114</v>
      </c>
      <c r="E36" s="619" t="e">
        <f>G9</f>
        <v>#VALUE!</v>
      </c>
      <c r="F36" s="619"/>
      <c r="G36" s="619"/>
      <c r="H36" s="620" t="s">
        <v>422</v>
      </c>
      <c r="I36" s="620"/>
      <c r="J36" s="198" t="s">
        <v>350</v>
      </c>
      <c r="K36" s="198"/>
      <c r="L36" s="32"/>
      <c r="M36" s="32"/>
      <c r="N36" s="218" t="s">
        <v>114</v>
      </c>
      <c r="O36" s="684">
        <f>Q30+U30</f>
        <v>0</v>
      </c>
      <c r="P36" s="684"/>
      <c r="Q36" s="684"/>
      <c r="R36" s="620" t="s">
        <v>422</v>
      </c>
      <c r="S36" s="620"/>
      <c r="T36" s="32"/>
      <c r="U36" s="25" t="s">
        <v>351</v>
      </c>
      <c r="V36" s="32"/>
      <c r="W36" s="32"/>
      <c r="X36" s="32"/>
    </row>
    <row r="37" spans="1:24" ht="14.25" thickBot="1" x14ac:dyDescent="0.2">
      <c r="A37" s="32"/>
      <c r="B37" s="32"/>
      <c r="C37" s="32"/>
      <c r="D37" s="32"/>
      <c r="E37" s="32"/>
      <c r="F37" s="218"/>
      <c r="G37" s="218"/>
      <c r="H37" s="218"/>
      <c r="I37" s="218"/>
      <c r="J37" s="218"/>
      <c r="K37" s="202"/>
      <c r="L37" s="32"/>
      <c r="M37" s="25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</row>
    <row r="38" spans="1:24" ht="14.25" thickTop="1" x14ac:dyDescent="0.15">
      <c r="A38" s="47"/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1"/>
    </row>
    <row r="39" spans="1:24" ht="14.25" x14ac:dyDescent="0.15">
      <c r="A39" s="48"/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1"/>
      <c r="N39" s="51"/>
      <c r="O39" s="51"/>
      <c r="P39" s="51" t="s">
        <v>352</v>
      </c>
      <c r="Q39" s="51"/>
      <c r="R39" s="51"/>
      <c r="S39" s="685" t="e">
        <f>IF(G9&gt;O36,"①＞②","①＜②")</f>
        <v>#VALUE!</v>
      </c>
      <c r="T39" s="685"/>
      <c r="U39" s="51"/>
      <c r="V39" s="51"/>
      <c r="W39" s="51"/>
      <c r="X39" s="52"/>
    </row>
    <row r="40" spans="1:24" x14ac:dyDescent="0.15">
      <c r="A40" s="48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1"/>
      <c r="N40" s="51"/>
      <c r="O40" s="51"/>
      <c r="P40" s="51"/>
      <c r="Q40" s="50"/>
      <c r="R40" s="50"/>
      <c r="S40" s="50"/>
      <c r="T40" s="50"/>
      <c r="U40" s="50"/>
      <c r="V40" s="50"/>
      <c r="W40" s="50"/>
      <c r="X40" s="52"/>
    </row>
    <row r="41" spans="1:24" ht="21" x14ac:dyDescent="0.15">
      <c r="A41" s="53"/>
      <c r="B41" s="662" t="e">
        <f>IF(G9&gt;O36,"〇","")</f>
        <v>#VALUE!</v>
      </c>
      <c r="C41" s="663"/>
      <c r="D41" s="664" t="s">
        <v>353</v>
      </c>
      <c r="E41" s="664"/>
      <c r="F41" s="664"/>
      <c r="G41" s="664"/>
      <c r="H41" s="664"/>
      <c r="I41" s="664"/>
      <c r="J41" s="664"/>
      <c r="K41" s="664"/>
      <c r="L41" s="664"/>
      <c r="M41" s="662" t="e">
        <f>IF(G9&lt;O36,"〇","")</f>
        <v>#VALUE!</v>
      </c>
      <c r="N41" s="663"/>
      <c r="O41" s="664" t="s">
        <v>354</v>
      </c>
      <c r="P41" s="664"/>
      <c r="Q41" s="664"/>
      <c r="R41" s="664"/>
      <c r="S41" s="664"/>
      <c r="T41" s="664"/>
      <c r="U41" s="664"/>
      <c r="V41" s="664"/>
      <c r="W41" s="664"/>
      <c r="X41" s="665"/>
    </row>
    <row r="42" spans="1:24" x14ac:dyDescent="0.15">
      <c r="A42" s="53"/>
      <c r="B42" s="671"/>
      <c r="C42" s="671"/>
      <c r="D42" s="50"/>
      <c r="E42" s="50"/>
      <c r="F42" s="50"/>
      <c r="G42" s="50"/>
      <c r="H42" s="50"/>
      <c r="I42" s="50"/>
      <c r="J42" s="50"/>
      <c r="K42" s="50"/>
      <c r="L42" s="50"/>
      <c r="M42" s="671"/>
      <c r="N42" s="671"/>
      <c r="O42" s="50"/>
      <c r="P42" s="50"/>
      <c r="Q42" s="51"/>
      <c r="R42" s="51"/>
      <c r="S42" s="51"/>
      <c r="T42" s="51"/>
      <c r="U42" s="54"/>
      <c r="V42" s="54"/>
      <c r="W42" s="54"/>
      <c r="X42" s="52"/>
    </row>
    <row r="43" spans="1:24" x14ac:dyDescent="0.15">
      <c r="A43" s="53"/>
      <c r="B43" s="492" t="s">
        <v>355</v>
      </c>
      <c r="C43" s="492"/>
      <c r="D43" s="492"/>
      <c r="E43" s="492"/>
      <c r="F43" s="492"/>
      <c r="G43" s="492"/>
      <c r="H43" s="492"/>
      <c r="I43" s="492"/>
      <c r="J43" s="492"/>
      <c r="K43" s="492"/>
      <c r="L43" s="492"/>
      <c r="M43" s="51" t="s">
        <v>356</v>
      </c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2"/>
    </row>
    <row r="44" spans="1:24" x14ac:dyDescent="0.15">
      <c r="A44" s="55"/>
      <c r="B44" s="50" t="s">
        <v>357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2"/>
    </row>
    <row r="45" spans="1:24" ht="14.25" thickBot="1" x14ac:dyDescent="0.2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8"/>
    </row>
    <row r="46" spans="1:24" ht="14.25" thickTop="1" x14ac:dyDescent="0.15"/>
  </sheetData>
  <mergeCells count="80">
    <mergeCell ref="AE6:AV6"/>
    <mergeCell ref="AE7:AG7"/>
    <mergeCell ref="AH7:AI7"/>
    <mergeCell ref="A1:L1"/>
    <mergeCell ref="S1:X1"/>
    <mergeCell ref="A3:X3"/>
    <mergeCell ref="G7:H7"/>
    <mergeCell ref="J7:K7"/>
    <mergeCell ref="AK12:AQ12"/>
    <mergeCell ref="AR12:AS12"/>
    <mergeCell ref="I9:J9"/>
    <mergeCell ref="AE9:AG9"/>
    <mergeCell ref="AH9:AI9"/>
    <mergeCell ref="AG12:AH12"/>
    <mergeCell ref="B12:H12"/>
    <mergeCell ref="I12:J12"/>
    <mergeCell ref="M12:S12"/>
    <mergeCell ref="T12:U12"/>
    <mergeCell ref="Z12:AF12"/>
    <mergeCell ref="A22:P22"/>
    <mergeCell ref="Q22:T22"/>
    <mergeCell ref="U22:X22"/>
    <mergeCell ref="A23:P23"/>
    <mergeCell ref="Q23:R23"/>
    <mergeCell ref="S23:T23"/>
    <mergeCell ref="U23:V23"/>
    <mergeCell ref="W23:X23"/>
    <mergeCell ref="U25:V25"/>
    <mergeCell ref="W25:X25"/>
    <mergeCell ref="A24:P24"/>
    <mergeCell ref="Q24:R24"/>
    <mergeCell ref="S24:T24"/>
    <mergeCell ref="U24:V24"/>
    <mergeCell ref="W24:X24"/>
    <mergeCell ref="U27:V27"/>
    <mergeCell ref="W27:X27"/>
    <mergeCell ref="A26:P26"/>
    <mergeCell ref="Q26:R26"/>
    <mergeCell ref="S26:T26"/>
    <mergeCell ref="U26:V26"/>
    <mergeCell ref="W26:X26"/>
    <mergeCell ref="U28:V28"/>
    <mergeCell ref="W28:X28"/>
    <mergeCell ref="A29:P29"/>
    <mergeCell ref="Q29:R29"/>
    <mergeCell ref="S29:T29"/>
    <mergeCell ref="U29:V29"/>
    <mergeCell ref="W29:X29"/>
    <mergeCell ref="U30:V30"/>
    <mergeCell ref="W30:X30"/>
    <mergeCell ref="B43:L43"/>
    <mergeCell ref="K12:L12"/>
    <mergeCell ref="V12:W12"/>
    <mergeCell ref="B41:C41"/>
    <mergeCell ref="D41:L41"/>
    <mergeCell ref="M41:N41"/>
    <mergeCell ref="O41:X41"/>
    <mergeCell ref="B42:C42"/>
    <mergeCell ref="M42:N42"/>
    <mergeCell ref="E36:G36"/>
    <mergeCell ref="H36:I36"/>
    <mergeCell ref="O36:Q36"/>
    <mergeCell ref="R36:S36"/>
    <mergeCell ref="A28:P28"/>
    <mergeCell ref="G8:H8"/>
    <mergeCell ref="I8:J8"/>
    <mergeCell ref="L7:M7"/>
    <mergeCell ref="G9:H9"/>
    <mergeCell ref="S39:T39"/>
    <mergeCell ref="Q28:R28"/>
    <mergeCell ref="S28:T28"/>
    <mergeCell ref="A30:P30"/>
    <mergeCell ref="Q30:R30"/>
    <mergeCell ref="S30:T30"/>
    <mergeCell ref="A27:P27"/>
    <mergeCell ref="Q27:R27"/>
    <mergeCell ref="S27:T27"/>
    <mergeCell ref="A25:P25"/>
    <mergeCell ref="Q25:R25"/>
    <mergeCell ref="S25:T25"/>
  </mergeCells>
  <phoneticPr fontId="2"/>
  <hyperlinks>
    <hyperlink ref="C19" r:id="rId1" xr:uid="{CC8E1968-6EFB-47BD-90F9-45935B39934D}"/>
  </hyperlinks>
  <pageMargins left="0.70866141732283472" right="0.70866141732283472" top="0.74803149606299213" bottom="0.74803149606299213" header="0.31496062992125984" footer="0.31496062992125984"/>
  <pageSetup paperSize="9" scale="95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109E9-BA7E-4352-8007-EAAD3F28BE34}">
  <dimension ref="B1:L39"/>
  <sheetViews>
    <sheetView view="pageBreakPreview" zoomScale="75" zoomScaleNormal="100" zoomScaleSheetLayoutView="75" workbookViewId="0">
      <selection activeCell="I16" sqref="I16"/>
    </sheetView>
  </sheetViews>
  <sheetFormatPr defaultColWidth="8.75" defaultRowHeight="13.5" x14ac:dyDescent="0.15"/>
  <cols>
    <col min="1" max="1" width="2.625" style="148" customWidth="1"/>
    <col min="2" max="2" width="25.625" style="148" customWidth="1"/>
    <col min="3" max="3" width="6.125" style="148" customWidth="1"/>
    <col min="4" max="4" width="4.125" style="148" customWidth="1"/>
    <col min="5" max="6" width="8.75" style="148"/>
    <col min="7" max="7" width="8.625" style="148" customWidth="1"/>
    <col min="8" max="9" width="8.75" style="148"/>
    <col min="10" max="10" width="20.625" style="148" customWidth="1"/>
    <col min="11" max="11" width="12.625" style="148" customWidth="1"/>
    <col min="12" max="12" width="2.625" style="148" customWidth="1"/>
    <col min="13" max="16384" width="8.75" style="148"/>
  </cols>
  <sheetData>
    <row r="1" spans="2:12" ht="14.25" thickBot="1" x14ac:dyDescent="0.2"/>
    <row r="2" spans="2:12" ht="20.100000000000001" customHeight="1" thickBot="1" x14ac:dyDescent="0.2">
      <c r="B2" s="42" t="s">
        <v>401</v>
      </c>
      <c r="C2" s="42"/>
      <c r="D2" s="147"/>
      <c r="F2" s="149"/>
      <c r="G2" s="150" t="s">
        <v>239</v>
      </c>
      <c r="H2" s="146"/>
      <c r="I2" s="146"/>
      <c r="J2" s="146"/>
      <c r="K2" s="146"/>
      <c r="L2" s="146"/>
    </row>
    <row r="3" spans="2:12" ht="20.100000000000001" customHeight="1" x14ac:dyDescent="0.15">
      <c r="B3" s="146"/>
      <c r="C3" s="146"/>
      <c r="D3" s="147"/>
      <c r="E3" s="146"/>
      <c r="F3" s="146"/>
      <c r="G3" s="147"/>
      <c r="H3" s="151"/>
      <c r="I3" s="151"/>
      <c r="J3" s="151"/>
      <c r="K3" s="151"/>
      <c r="L3" s="151"/>
    </row>
    <row r="4" spans="2:12" ht="20.100000000000001" customHeight="1" x14ac:dyDescent="0.15">
      <c r="B4" s="146" t="s">
        <v>455</v>
      </c>
      <c r="C4" s="154" t="s">
        <v>456</v>
      </c>
      <c r="D4" s="147" t="s">
        <v>240</v>
      </c>
      <c r="E4" s="340">
        <v>5.0000000000000001E-3</v>
      </c>
      <c r="F4" s="146" t="s">
        <v>241</v>
      </c>
      <c r="G4" s="146" t="s">
        <v>473</v>
      </c>
      <c r="H4" s="146"/>
      <c r="I4" s="146"/>
      <c r="J4" s="146"/>
      <c r="K4" s="146"/>
      <c r="L4" s="146"/>
    </row>
    <row r="5" spans="2:12" ht="20.100000000000001" customHeight="1" x14ac:dyDescent="0.15"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2:12" ht="20.100000000000001" customHeight="1" thickBot="1" x14ac:dyDescent="0.2">
      <c r="B6" s="146"/>
      <c r="C6" s="146"/>
      <c r="D6" s="147"/>
      <c r="E6" s="146"/>
      <c r="F6" s="146"/>
      <c r="G6" s="146" t="s">
        <v>432</v>
      </c>
      <c r="H6" s="146"/>
      <c r="I6" s="146"/>
      <c r="J6" s="146"/>
      <c r="K6" s="146"/>
      <c r="L6" s="146"/>
    </row>
    <row r="7" spans="2:12" ht="20.100000000000001" customHeight="1" thickBot="1" x14ac:dyDescent="0.2">
      <c r="B7" s="146" t="s">
        <v>435</v>
      </c>
      <c r="C7" s="154" t="s">
        <v>434</v>
      </c>
      <c r="D7" s="147" t="s">
        <v>240</v>
      </c>
      <c r="E7" s="167"/>
      <c r="F7" s="146" t="s">
        <v>92</v>
      </c>
      <c r="G7" s="226" t="s">
        <v>430</v>
      </c>
      <c r="H7" s="152"/>
      <c r="I7" s="152"/>
      <c r="J7" s="152"/>
      <c r="K7" s="146"/>
      <c r="L7" s="146"/>
    </row>
    <row r="8" spans="2:12" ht="20.100000000000001" customHeight="1" x14ac:dyDescent="0.15">
      <c r="B8" s="146"/>
      <c r="C8" s="154"/>
      <c r="D8" s="147"/>
      <c r="E8" s="146"/>
      <c r="F8" s="146"/>
      <c r="G8" s="146"/>
      <c r="H8" s="146"/>
      <c r="I8" s="146"/>
      <c r="J8" s="146"/>
      <c r="K8" s="146"/>
      <c r="L8" s="146"/>
    </row>
    <row r="9" spans="2:12" ht="20.100000000000001" customHeight="1" x14ac:dyDescent="0.15">
      <c r="B9" s="146" t="s">
        <v>436</v>
      </c>
      <c r="C9" s="154" t="s">
        <v>433</v>
      </c>
      <c r="D9" s="147" t="s">
        <v>240</v>
      </c>
      <c r="E9" s="334">
        <v>1.4E-2</v>
      </c>
      <c r="F9" s="146"/>
      <c r="G9" s="146"/>
      <c r="H9" s="146"/>
      <c r="I9" s="146"/>
      <c r="J9" s="146"/>
      <c r="K9" s="146"/>
      <c r="L9" s="146"/>
    </row>
    <row r="10" spans="2:12" ht="20.100000000000001" customHeight="1" x14ac:dyDescent="0.15">
      <c r="B10" s="146"/>
      <c r="C10" s="154"/>
      <c r="D10" s="147"/>
      <c r="E10" s="153"/>
      <c r="F10" s="151"/>
      <c r="G10" s="151"/>
      <c r="H10" s="152"/>
      <c r="I10" s="152"/>
      <c r="J10" s="152"/>
      <c r="K10" s="146"/>
      <c r="L10" s="146"/>
    </row>
    <row r="11" spans="2:12" ht="20.100000000000001" customHeight="1" x14ac:dyDescent="0.15">
      <c r="B11" s="146" t="s">
        <v>436</v>
      </c>
      <c r="C11" s="154" t="s">
        <v>70</v>
      </c>
      <c r="D11" s="147" t="s">
        <v>240</v>
      </c>
      <c r="E11" s="334">
        <v>1.2869999999999999</v>
      </c>
      <c r="F11" s="146"/>
      <c r="G11" s="146"/>
      <c r="H11" s="152"/>
      <c r="I11" s="152"/>
      <c r="J11" s="152"/>
      <c r="K11" s="146"/>
      <c r="L11" s="146"/>
    </row>
    <row r="12" spans="2:12" ht="20.100000000000001" customHeight="1" x14ac:dyDescent="0.15">
      <c r="B12" s="146"/>
      <c r="C12" s="154"/>
      <c r="D12" s="147"/>
      <c r="E12" s="146"/>
      <c r="F12" s="146"/>
      <c r="G12" s="146"/>
      <c r="H12" s="152"/>
      <c r="I12" s="152"/>
      <c r="J12" s="152"/>
      <c r="K12" s="146"/>
      <c r="L12" s="146"/>
    </row>
    <row r="13" spans="2:12" ht="20.100000000000001" customHeight="1" x14ac:dyDescent="0.15">
      <c r="B13" s="146" t="s">
        <v>437</v>
      </c>
      <c r="C13" s="154" t="s">
        <v>309</v>
      </c>
      <c r="D13" s="147" t="s">
        <v>240</v>
      </c>
      <c r="E13" s="154" t="s">
        <v>380</v>
      </c>
      <c r="F13" s="146"/>
      <c r="G13" s="146"/>
      <c r="H13" s="146"/>
      <c r="I13" s="146"/>
      <c r="J13" s="146"/>
      <c r="K13" s="146"/>
      <c r="L13" s="146"/>
    </row>
    <row r="14" spans="2:12" ht="20.100000000000001" customHeight="1" x14ac:dyDescent="0.15">
      <c r="B14" s="146"/>
      <c r="C14" s="154"/>
      <c r="D14" s="147" t="s">
        <v>240</v>
      </c>
      <c r="E14" s="146">
        <v>0.45</v>
      </c>
      <c r="F14" s="146"/>
      <c r="G14" s="146"/>
      <c r="H14" s="146"/>
      <c r="I14" s="146"/>
      <c r="J14" s="146"/>
      <c r="K14" s="146"/>
      <c r="L14" s="146"/>
    </row>
    <row r="15" spans="2:12" ht="20.100000000000001" customHeight="1" thickBot="1" x14ac:dyDescent="0.2">
      <c r="B15" s="146"/>
      <c r="C15" s="154"/>
      <c r="D15" s="147"/>
      <c r="E15" s="146"/>
      <c r="F15" s="146"/>
      <c r="G15" s="146"/>
      <c r="H15" s="146"/>
      <c r="I15" s="146"/>
      <c r="J15" s="146"/>
      <c r="K15" s="146"/>
      <c r="L15" s="146"/>
    </row>
    <row r="16" spans="2:12" ht="20.100000000000001" customHeight="1" thickBot="1" x14ac:dyDescent="0.2">
      <c r="B16" s="146" t="s">
        <v>242</v>
      </c>
      <c r="C16" s="154" t="s">
        <v>53</v>
      </c>
      <c r="D16" s="147" t="s">
        <v>240</v>
      </c>
      <c r="E16" s="166"/>
      <c r="F16" s="146" t="s">
        <v>258</v>
      </c>
      <c r="G16" s="146"/>
      <c r="H16" s="146"/>
      <c r="I16" s="146"/>
      <c r="J16" s="146"/>
      <c r="K16" s="146"/>
      <c r="L16" s="146"/>
    </row>
    <row r="17" spans="2:12" ht="20.100000000000001" customHeight="1" thickBot="1" x14ac:dyDescent="0.2">
      <c r="B17" s="146"/>
      <c r="C17" s="154"/>
      <c r="D17" s="147"/>
      <c r="E17" s="153"/>
      <c r="F17" s="146"/>
      <c r="G17" s="146"/>
      <c r="H17" s="146"/>
      <c r="I17" s="146"/>
      <c r="J17" s="146"/>
      <c r="K17" s="146"/>
      <c r="L17" s="146"/>
    </row>
    <row r="18" spans="2:12" ht="20.100000000000001" customHeight="1" thickBot="1" x14ac:dyDescent="0.2">
      <c r="B18" s="146" t="s">
        <v>243</v>
      </c>
      <c r="C18" s="154"/>
      <c r="D18" s="147" t="s">
        <v>240</v>
      </c>
      <c r="E18" s="167"/>
      <c r="F18" s="146" t="s">
        <v>244</v>
      </c>
      <c r="G18" s="146"/>
      <c r="H18" s="146"/>
      <c r="I18" s="146"/>
      <c r="J18" s="146" t="s">
        <v>327</v>
      </c>
      <c r="K18" s="146"/>
      <c r="L18" s="146"/>
    </row>
    <row r="19" spans="2:12" ht="20.100000000000001" customHeight="1" x14ac:dyDescent="0.15">
      <c r="B19" s="146"/>
      <c r="C19" s="154"/>
      <c r="D19" s="147"/>
      <c r="E19" s="146"/>
      <c r="F19" s="146"/>
      <c r="G19" s="146"/>
      <c r="H19" s="146"/>
      <c r="I19" s="146"/>
      <c r="J19" s="34" t="s">
        <v>245</v>
      </c>
      <c r="K19" s="34" t="s">
        <v>246</v>
      </c>
      <c r="L19" s="45"/>
    </row>
    <row r="20" spans="2:12" ht="20.100000000000001" customHeight="1" x14ac:dyDescent="0.15">
      <c r="B20" s="151" t="s">
        <v>438</v>
      </c>
      <c r="C20" s="230" t="s">
        <v>310</v>
      </c>
      <c r="D20" s="155" t="s">
        <v>240</v>
      </c>
      <c r="E20" s="696" t="s">
        <v>247</v>
      </c>
      <c r="F20" s="696"/>
      <c r="G20" s="696"/>
      <c r="H20" s="696"/>
      <c r="I20" s="697"/>
      <c r="J20" s="35" t="s">
        <v>248</v>
      </c>
      <c r="K20" s="34">
        <v>0.4</v>
      </c>
      <c r="L20" s="37"/>
    </row>
    <row r="21" spans="2:12" ht="20.100000000000001" customHeight="1" x14ac:dyDescent="0.15">
      <c r="B21" s="151"/>
      <c r="C21" s="230"/>
      <c r="D21" s="155" t="s">
        <v>240</v>
      </c>
      <c r="E21" s="333">
        <f>ROUND(E4*E24*3600/100,3)</f>
        <v>0.23200000000000001</v>
      </c>
      <c r="F21" s="146" t="s">
        <v>475</v>
      </c>
      <c r="G21" s="155"/>
      <c r="H21" s="157"/>
      <c r="I21" s="157"/>
      <c r="J21" s="35" t="s">
        <v>249</v>
      </c>
      <c r="K21" s="34">
        <v>0.1</v>
      </c>
      <c r="L21" s="37"/>
    </row>
    <row r="22" spans="2:12" ht="20.100000000000001" customHeight="1" x14ac:dyDescent="0.15">
      <c r="B22" s="151"/>
      <c r="C22" s="230"/>
      <c r="D22" s="155"/>
      <c r="E22" s="151"/>
      <c r="F22" s="146"/>
      <c r="G22" s="155"/>
      <c r="H22" s="157"/>
      <c r="I22" s="157"/>
      <c r="J22" s="35" t="s">
        <v>250</v>
      </c>
      <c r="K22" s="34">
        <v>0.1</v>
      </c>
      <c r="L22" s="37"/>
    </row>
    <row r="23" spans="2:12" ht="20.100000000000001" customHeight="1" x14ac:dyDescent="0.15">
      <c r="B23" s="146" t="s">
        <v>439</v>
      </c>
      <c r="C23" s="154" t="s">
        <v>303</v>
      </c>
      <c r="D23" s="147" t="s">
        <v>240</v>
      </c>
      <c r="E23" s="146" t="s">
        <v>251</v>
      </c>
      <c r="F23" s="146"/>
      <c r="G23" s="146"/>
      <c r="H23" s="151"/>
      <c r="I23" s="151"/>
      <c r="J23" s="35" t="s">
        <v>252</v>
      </c>
      <c r="K23" s="34">
        <v>0.1</v>
      </c>
      <c r="L23" s="37"/>
    </row>
    <row r="24" spans="2:12" ht="20.100000000000001" customHeight="1" x14ac:dyDescent="0.15">
      <c r="B24" s="42"/>
      <c r="C24" s="59"/>
      <c r="D24" s="147" t="s">
        <v>240</v>
      </c>
      <c r="E24" s="333">
        <f>ROUND(E9*E7+E11,3)</f>
        <v>1.2869999999999999</v>
      </c>
      <c r="F24" s="146" t="s">
        <v>457</v>
      </c>
      <c r="G24" s="146"/>
      <c r="H24" s="156"/>
      <c r="I24" s="151"/>
      <c r="J24" s="35" t="s">
        <v>253</v>
      </c>
      <c r="K24" s="34">
        <v>0.1</v>
      </c>
      <c r="L24" s="37"/>
    </row>
    <row r="25" spans="2:12" ht="20.100000000000001" customHeight="1" x14ac:dyDescent="0.15">
      <c r="B25" s="146"/>
      <c r="C25" s="154"/>
      <c r="D25" s="147"/>
      <c r="E25" s="146"/>
      <c r="F25" s="146"/>
      <c r="G25" s="146"/>
      <c r="H25" s="156"/>
      <c r="I25" s="151"/>
      <c r="J25" s="35" t="s">
        <v>254</v>
      </c>
      <c r="K25" s="34">
        <v>0.2</v>
      </c>
      <c r="L25" s="37"/>
    </row>
    <row r="26" spans="2:12" ht="20.100000000000001" customHeight="1" x14ac:dyDescent="0.15">
      <c r="B26" s="146" t="s">
        <v>440</v>
      </c>
      <c r="C26" s="154" t="s">
        <v>61</v>
      </c>
      <c r="D26" s="147" t="s">
        <v>240</v>
      </c>
      <c r="E26" s="146" t="s">
        <v>255</v>
      </c>
      <c r="F26" s="146"/>
      <c r="G26" s="146"/>
      <c r="H26" s="156"/>
      <c r="I26" s="151"/>
      <c r="J26" s="36" t="s">
        <v>256</v>
      </c>
      <c r="K26" s="164" t="s">
        <v>257</v>
      </c>
      <c r="L26" s="163"/>
    </row>
    <row r="27" spans="2:12" ht="20.100000000000001" customHeight="1" x14ac:dyDescent="0.15">
      <c r="B27" s="146"/>
      <c r="C27" s="154"/>
      <c r="D27" s="147" t="s">
        <v>240</v>
      </c>
      <c r="E27" s="333">
        <f>ROUND(E14*E21,3)</f>
        <v>0.104</v>
      </c>
      <c r="F27" s="146" t="s">
        <v>475</v>
      </c>
      <c r="G27" s="146"/>
      <c r="H27" s="151"/>
      <c r="I27" s="151"/>
      <c r="J27" s="158"/>
      <c r="K27" s="158"/>
      <c r="L27" s="153"/>
    </row>
    <row r="28" spans="2:12" ht="20.100000000000001" customHeight="1" x14ac:dyDescent="0.15">
      <c r="B28" s="146"/>
      <c r="C28" s="154"/>
      <c r="D28" s="147"/>
      <c r="E28" s="146"/>
      <c r="F28" s="146"/>
      <c r="G28" s="146"/>
      <c r="H28" s="151"/>
      <c r="I28" s="151"/>
      <c r="J28" s="153"/>
      <c r="K28" s="153"/>
      <c r="L28" s="153"/>
    </row>
    <row r="29" spans="2:12" ht="20.100000000000001" customHeight="1" x14ac:dyDescent="0.15">
      <c r="B29" s="42" t="s">
        <v>441</v>
      </c>
      <c r="C29" s="59" t="s">
        <v>313</v>
      </c>
      <c r="D29" s="147" t="s">
        <v>240</v>
      </c>
      <c r="E29" s="146" t="s">
        <v>260</v>
      </c>
      <c r="F29" s="146"/>
      <c r="G29" s="146"/>
      <c r="H29" s="156"/>
      <c r="I29" s="151"/>
      <c r="J29" s="153"/>
      <c r="K29" s="153"/>
      <c r="L29" s="153"/>
    </row>
    <row r="30" spans="2:12" ht="20.100000000000001" customHeight="1" x14ac:dyDescent="0.15">
      <c r="B30" s="146"/>
      <c r="C30" s="154"/>
      <c r="D30" s="147" t="s">
        <v>240</v>
      </c>
      <c r="E30" s="342">
        <f>E27*E16</f>
        <v>0</v>
      </c>
      <c r="F30" s="146" t="s">
        <v>261</v>
      </c>
      <c r="G30" s="146"/>
      <c r="H30" s="156"/>
      <c r="I30" s="159"/>
      <c r="J30" s="159"/>
      <c r="K30" s="160"/>
      <c r="L30" s="160"/>
    </row>
    <row r="31" spans="2:12" ht="20.100000000000001" customHeight="1" x14ac:dyDescent="0.15">
      <c r="B31" s="146"/>
      <c r="C31" s="154"/>
      <c r="D31" s="147"/>
      <c r="E31" s="146"/>
      <c r="F31" s="146"/>
      <c r="G31" s="146"/>
      <c r="H31" s="156"/>
      <c r="I31" s="159"/>
      <c r="J31" s="159"/>
      <c r="K31" s="160"/>
      <c r="L31" s="160"/>
    </row>
    <row r="32" spans="2:12" ht="20.100000000000001" customHeight="1" x14ac:dyDescent="0.15">
      <c r="B32" s="42" t="s">
        <v>442</v>
      </c>
      <c r="C32" s="59" t="s">
        <v>367</v>
      </c>
      <c r="D32" s="147" t="s">
        <v>240</v>
      </c>
      <c r="E32" s="146" t="s">
        <v>263</v>
      </c>
      <c r="F32" s="154"/>
      <c r="G32" s="146"/>
      <c r="H32" s="151"/>
      <c r="I32" s="155"/>
      <c r="J32" s="151"/>
      <c r="K32" s="151"/>
      <c r="L32" s="151"/>
    </row>
    <row r="33" spans="2:12" ht="20.100000000000001" customHeight="1" x14ac:dyDescent="0.15">
      <c r="B33" s="146"/>
      <c r="C33" s="154"/>
      <c r="D33" s="147" t="s">
        <v>240</v>
      </c>
      <c r="E33" s="337">
        <f>ROUND(E7*E16*E18,3)</f>
        <v>0</v>
      </c>
      <c r="F33" s="146" t="s">
        <v>264</v>
      </c>
      <c r="G33" s="156"/>
      <c r="H33" s="151"/>
      <c r="I33" s="151"/>
      <c r="J33" s="151"/>
      <c r="K33" s="151"/>
      <c r="L33" s="151"/>
    </row>
    <row r="34" spans="2:12" ht="20.100000000000001" customHeight="1" x14ac:dyDescent="0.15">
      <c r="B34" s="146"/>
      <c r="C34" s="154"/>
      <c r="D34" s="147"/>
      <c r="E34" s="146"/>
      <c r="F34" s="146"/>
      <c r="G34" s="155"/>
      <c r="H34" s="157"/>
      <c r="I34" s="157"/>
      <c r="J34" s="151"/>
      <c r="K34" s="151"/>
      <c r="L34" s="151"/>
    </row>
    <row r="35" spans="2:12" ht="20.100000000000001" customHeight="1" x14ac:dyDescent="0.15">
      <c r="B35" s="146" t="s">
        <v>265</v>
      </c>
      <c r="C35" s="154"/>
      <c r="D35" s="147" t="s">
        <v>240</v>
      </c>
      <c r="E35" s="146" t="s">
        <v>266</v>
      </c>
      <c r="F35" s="146"/>
      <c r="G35" s="146"/>
      <c r="H35" s="151"/>
      <c r="I35" s="151"/>
      <c r="J35" s="151"/>
      <c r="K35" s="151"/>
      <c r="L35" s="151"/>
    </row>
    <row r="36" spans="2:12" ht="20.100000000000001" customHeight="1" x14ac:dyDescent="0.15">
      <c r="B36" s="146"/>
      <c r="C36" s="146"/>
      <c r="D36" s="147" t="s">
        <v>240</v>
      </c>
      <c r="E36" s="333">
        <f>E33+E30</f>
        <v>0</v>
      </c>
      <c r="F36" s="146" t="s">
        <v>261</v>
      </c>
      <c r="G36" s="147"/>
      <c r="H36" s="151"/>
      <c r="I36" s="151"/>
      <c r="J36" s="151"/>
      <c r="K36" s="151"/>
      <c r="L36" s="151"/>
    </row>
    <row r="39" spans="2:12" x14ac:dyDescent="0.15">
      <c r="B39" s="42" t="s">
        <v>405</v>
      </c>
      <c r="C39" s="42"/>
    </row>
  </sheetData>
  <mergeCells count="1">
    <mergeCell ref="E20:I20"/>
  </mergeCells>
  <phoneticPr fontId="2"/>
  <printOptions horizontalCentered="1"/>
  <pageMargins left="0.59055118110236227" right="0.39370078740157483" top="0.59055118110236227" bottom="0.39370078740157483" header="0.19685039370078741" footer="0.19685039370078741"/>
  <pageSetup paperSize="9" scale="79" fitToHeight="2" orientation="portrait" r:id="rId1"/>
  <rowBreaks count="1" manualBreakCount="1">
    <brk id="37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9112B-035B-49ED-B534-8FA748DFBFF4}">
  <dimension ref="A1:L50"/>
  <sheetViews>
    <sheetView view="pageBreakPreview" zoomScale="75" zoomScaleNormal="100" zoomScaleSheetLayoutView="75" workbookViewId="0">
      <selection activeCell="I19" sqref="I19"/>
    </sheetView>
  </sheetViews>
  <sheetFormatPr defaultColWidth="8.75" defaultRowHeight="13.5" x14ac:dyDescent="0.15"/>
  <cols>
    <col min="1" max="1" width="2.625" style="148" customWidth="1"/>
    <col min="2" max="2" width="25.625" style="148" customWidth="1"/>
    <col min="3" max="3" width="6.125" style="148" customWidth="1"/>
    <col min="4" max="4" width="4.125" style="148" customWidth="1"/>
    <col min="5" max="9" width="8.75" style="148"/>
    <col min="10" max="10" width="20.625" style="148" customWidth="1"/>
    <col min="11" max="11" width="12.625" style="148" customWidth="1"/>
    <col min="12" max="12" width="2.625" style="148" customWidth="1"/>
    <col min="13" max="16384" width="8.75" style="148"/>
  </cols>
  <sheetData>
    <row r="1" spans="1:12" ht="14.25" thickBot="1" x14ac:dyDescent="0.2"/>
    <row r="2" spans="1:12" ht="20.100000000000001" customHeight="1" thickBot="1" x14ac:dyDescent="0.2">
      <c r="A2" s="146"/>
      <c r="B2" s="42" t="s">
        <v>402</v>
      </c>
      <c r="C2" s="42"/>
      <c r="D2" s="147"/>
      <c r="E2" s="146"/>
      <c r="F2" s="146"/>
      <c r="G2" s="149"/>
      <c r="H2" s="150" t="s">
        <v>239</v>
      </c>
      <c r="I2" s="146"/>
      <c r="J2" s="146"/>
      <c r="K2" s="146"/>
      <c r="L2" s="146"/>
    </row>
    <row r="3" spans="1:12" ht="20.100000000000001" customHeight="1" x14ac:dyDescent="0.15">
      <c r="A3" s="146"/>
      <c r="B3" s="146"/>
      <c r="C3" s="146"/>
      <c r="D3" s="147"/>
      <c r="E3" s="146"/>
      <c r="F3" s="146"/>
      <c r="G3" s="146"/>
      <c r="H3" s="146"/>
      <c r="I3" s="146"/>
      <c r="J3" s="146"/>
      <c r="K3" s="146"/>
      <c r="L3" s="146"/>
    </row>
    <row r="4" spans="1:12" ht="20.100000000000001" customHeight="1" x14ac:dyDescent="0.15">
      <c r="A4" s="146"/>
      <c r="B4" s="146" t="s">
        <v>455</v>
      </c>
      <c r="C4" s="154" t="s">
        <v>456</v>
      </c>
      <c r="D4" s="147" t="s">
        <v>240</v>
      </c>
      <c r="E4" s="340">
        <v>5.0000000000000001E-3</v>
      </c>
      <c r="F4" s="146" t="s">
        <v>241</v>
      </c>
      <c r="G4" s="146" t="s">
        <v>473</v>
      </c>
      <c r="H4" s="146"/>
      <c r="I4" s="146"/>
      <c r="J4" s="146"/>
      <c r="K4" s="146"/>
      <c r="L4" s="146"/>
    </row>
    <row r="5" spans="1:12" ht="20.100000000000001" customHeight="1" x14ac:dyDescent="0.15">
      <c r="A5" s="146"/>
      <c r="B5" s="146"/>
      <c r="C5" s="146"/>
      <c r="D5" s="147"/>
      <c r="E5" s="165"/>
      <c r="F5" s="146"/>
      <c r="G5" s="146"/>
      <c r="H5" s="146"/>
      <c r="I5" s="146"/>
      <c r="J5" s="146"/>
      <c r="K5" s="146"/>
      <c r="L5" s="146"/>
    </row>
    <row r="6" spans="1:12" ht="20.100000000000001" customHeight="1" thickBot="1" x14ac:dyDescent="0.2">
      <c r="A6" s="146"/>
      <c r="B6" s="146"/>
      <c r="C6" s="146"/>
      <c r="D6" s="147"/>
      <c r="E6" s="146"/>
      <c r="F6" s="146"/>
      <c r="G6" s="151" t="s">
        <v>269</v>
      </c>
      <c r="H6" s="146"/>
      <c r="I6" s="146"/>
      <c r="J6" s="146"/>
      <c r="K6" s="146"/>
      <c r="L6" s="146"/>
    </row>
    <row r="7" spans="1:12" ht="20.100000000000001" customHeight="1" thickBot="1" x14ac:dyDescent="0.2">
      <c r="A7" s="146"/>
      <c r="B7" s="146" t="s">
        <v>435</v>
      </c>
      <c r="C7" s="154" t="s">
        <v>434</v>
      </c>
      <c r="D7" s="147" t="s">
        <v>240</v>
      </c>
      <c r="E7" s="167"/>
      <c r="F7" s="146" t="s">
        <v>92</v>
      </c>
      <c r="G7" s="226" t="s">
        <v>430</v>
      </c>
      <c r="H7" s="152"/>
      <c r="I7" s="152"/>
      <c r="J7" s="152"/>
      <c r="K7" s="146"/>
      <c r="L7" s="146"/>
    </row>
    <row r="8" spans="1:12" ht="20.100000000000001" customHeight="1" thickBot="1" x14ac:dyDescent="0.2">
      <c r="A8" s="146"/>
      <c r="B8" s="146"/>
      <c r="C8" s="154"/>
      <c r="D8" s="147"/>
      <c r="E8" s="161"/>
      <c r="F8" s="146"/>
      <c r="G8" s="153"/>
      <c r="H8" s="152"/>
      <c r="I8" s="152"/>
      <c r="J8" s="152"/>
      <c r="K8" s="146"/>
      <c r="L8" s="146"/>
    </row>
    <row r="9" spans="1:12" ht="20.100000000000001" customHeight="1" thickBot="1" x14ac:dyDescent="0.2">
      <c r="A9" s="146"/>
      <c r="B9" s="146" t="s">
        <v>444</v>
      </c>
      <c r="C9" s="154" t="s">
        <v>443</v>
      </c>
      <c r="D9" s="147" t="s">
        <v>240</v>
      </c>
      <c r="E9" s="167"/>
      <c r="F9" s="146" t="s">
        <v>92</v>
      </c>
      <c r="G9" s="226" t="s">
        <v>431</v>
      </c>
      <c r="H9" s="152"/>
      <c r="I9" s="152"/>
      <c r="J9" s="152"/>
      <c r="K9" s="146"/>
      <c r="L9" s="146"/>
    </row>
    <row r="10" spans="1:12" ht="20.100000000000001" customHeight="1" x14ac:dyDescent="0.15">
      <c r="A10" s="146"/>
      <c r="B10" s="146"/>
      <c r="C10" s="154"/>
      <c r="D10" s="147"/>
      <c r="E10" s="153"/>
      <c r="F10" s="146"/>
      <c r="G10" s="153"/>
      <c r="H10" s="152"/>
      <c r="I10" s="152"/>
      <c r="J10" s="152"/>
      <c r="K10" s="146"/>
      <c r="L10" s="146"/>
    </row>
    <row r="11" spans="1:12" ht="20.100000000000001" customHeight="1" x14ac:dyDescent="0.15">
      <c r="A11" s="146"/>
      <c r="B11" s="146" t="s">
        <v>436</v>
      </c>
      <c r="C11" s="154" t="s">
        <v>433</v>
      </c>
      <c r="D11" s="147" t="s">
        <v>240</v>
      </c>
      <c r="E11" s="340">
        <v>3.093</v>
      </c>
      <c r="F11" s="146"/>
      <c r="G11" s="146"/>
      <c r="H11" s="146"/>
      <c r="I11" s="146"/>
      <c r="J11" s="146"/>
      <c r="K11" s="146"/>
      <c r="L11" s="146"/>
    </row>
    <row r="12" spans="1:12" ht="20.100000000000001" customHeight="1" x14ac:dyDescent="0.15">
      <c r="A12" s="146"/>
      <c r="B12" s="146"/>
      <c r="C12" s="154"/>
      <c r="D12" s="147"/>
      <c r="E12" s="146"/>
      <c r="F12" s="146"/>
      <c r="G12" s="146"/>
      <c r="H12" s="146"/>
      <c r="I12" s="146"/>
      <c r="J12" s="146"/>
      <c r="K12" s="146"/>
      <c r="L12" s="146"/>
    </row>
    <row r="13" spans="1:12" ht="20.100000000000001" customHeight="1" x14ac:dyDescent="0.15">
      <c r="A13" s="146"/>
      <c r="B13" s="146" t="s">
        <v>445</v>
      </c>
      <c r="C13" s="154" t="s">
        <v>70</v>
      </c>
      <c r="D13" s="147" t="s">
        <v>240</v>
      </c>
      <c r="E13" s="146" t="s">
        <v>290</v>
      </c>
      <c r="F13" s="146"/>
      <c r="G13" s="146"/>
      <c r="H13" s="162"/>
      <c r="I13" s="162"/>
      <c r="J13" s="162"/>
      <c r="K13" s="146"/>
      <c r="L13" s="146"/>
    </row>
    <row r="14" spans="1:12" ht="20.100000000000001" customHeight="1" x14ac:dyDescent="0.15">
      <c r="A14" s="146"/>
      <c r="B14" s="146"/>
      <c r="C14" s="154"/>
      <c r="D14" s="147" t="s">
        <v>240</v>
      </c>
      <c r="E14" s="224">
        <f>ROUND(1.34*E9+0.677,3)</f>
        <v>0.67700000000000005</v>
      </c>
      <c r="F14" s="146"/>
      <c r="G14" s="146"/>
      <c r="H14" s="162"/>
      <c r="I14" s="162"/>
      <c r="J14" s="162"/>
      <c r="K14" s="146"/>
      <c r="L14" s="146"/>
    </row>
    <row r="15" spans="1:12" ht="20.100000000000001" customHeight="1" x14ac:dyDescent="0.15">
      <c r="A15" s="146"/>
      <c r="B15" s="146"/>
      <c r="C15" s="154"/>
      <c r="D15" s="147"/>
      <c r="E15" s="146"/>
      <c r="F15" s="146"/>
      <c r="G15" s="146"/>
      <c r="H15" s="162"/>
      <c r="I15" s="162"/>
      <c r="J15" s="162"/>
      <c r="K15" s="146"/>
      <c r="L15" s="146"/>
    </row>
    <row r="16" spans="1:12" ht="20.100000000000001" customHeight="1" x14ac:dyDescent="0.15">
      <c r="A16" s="146"/>
      <c r="B16" s="146" t="s">
        <v>437</v>
      </c>
      <c r="C16" s="154" t="s">
        <v>309</v>
      </c>
      <c r="D16" s="147" t="s">
        <v>240</v>
      </c>
      <c r="E16" s="154" t="s">
        <v>291</v>
      </c>
      <c r="F16" s="146"/>
      <c r="G16" s="146"/>
      <c r="H16" s="146"/>
      <c r="I16" s="146"/>
      <c r="J16" s="146"/>
      <c r="K16" s="146"/>
      <c r="L16" s="146"/>
    </row>
    <row r="17" spans="1:12" ht="20.100000000000001" customHeight="1" x14ac:dyDescent="0.15">
      <c r="A17" s="146"/>
      <c r="B17" s="146"/>
      <c r="C17" s="154"/>
      <c r="D17" s="147" t="s">
        <v>240</v>
      </c>
      <c r="E17" s="146">
        <v>0.81</v>
      </c>
      <c r="F17" s="146"/>
      <c r="G17" s="146"/>
      <c r="H17" s="146"/>
      <c r="I17" s="146"/>
      <c r="J17" s="146"/>
      <c r="K17" s="146"/>
      <c r="L17" s="146"/>
    </row>
    <row r="18" spans="1:12" ht="20.100000000000001" customHeight="1" thickBot="1" x14ac:dyDescent="0.2">
      <c r="A18" s="146"/>
      <c r="B18" s="146"/>
      <c r="C18" s="154"/>
      <c r="D18" s="147"/>
      <c r="E18" s="146"/>
      <c r="F18" s="146"/>
      <c r="G18" s="146"/>
      <c r="H18" s="146"/>
      <c r="I18" s="146"/>
      <c r="J18" s="146"/>
      <c r="K18" s="146"/>
      <c r="L18" s="146"/>
    </row>
    <row r="19" spans="1:12" ht="20.100000000000001" customHeight="1" thickBot="1" x14ac:dyDescent="0.2">
      <c r="A19" s="146"/>
      <c r="B19" s="146" t="s">
        <v>242</v>
      </c>
      <c r="C19" s="154" t="s">
        <v>446</v>
      </c>
      <c r="D19" s="147" t="s">
        <v>240</v>
      </c>
      <c r="E19" s="167"/>
      <c r="F19" s="146" t="s">
        <v>292</v>
      </c>
      <c r="G19" s="146"/>
      <c r="H19" s="146"/>
      <c r="I19" s="146"/>
      <c r="J19" s="146"/>
      <c r="K19" s="146"/>
      <c r="L19" s="146"/>
    </row>
    <row r="20" spans="1:12" ht="20.100000000000001" customHeight="1" thickBot="1" x14ac:dyDescent="0.2">
      <c r="A20" s="146"/>
      <c r="B20" s="146"/>
      <c r="C20" s="230"/>
      <c r="D20" s="147"/>
      <c r="E20" s="161"/>
      <c r="F20" s="146"/>
      <c r="G20" s="146"/>
      <c r="H20" s="146"/>
      <c r="I20" s="146"/>
      <c r="J20" s="146"/>
      <c r="K20" s="146"/>
      <c r="L20" s="146"/>
    </row>
    <row r="21" spans="1:12" ht="20.100000000000001" customHeight="1" thickBot="1" x14ac:dyDescent="0.2">
      <c r="A21" s="146"/>
      <c r="B21" s="146" t="s">
        <v>326</v>
      </c>
      <c r="C21" s="230" t="s">
        <v>53</v>
      </c>
      <c r="D21" s="147" t="s">
        <v>240</v>
      </c>
      <c r="E21" s="167"/>
      <c r="F21" s="146" t="s">
        <v>258</v>
      </c>
      <c r="G21" s="146"/>
      <c r="H21" s="146"/>
      <c r="I21" s="146"/>
      <c r="J21" s="146"/>
      <c r="K21" s="146"/>
      <c r="L21" s="146"/>
    </row>
    <row r="22" spans="1:12" ht="20.100000000000001" customHeight="1" thickBot="1" x14ac:dyDescent="0.2">
      <c r="A22" s="146"/>
      <c r="B22" s="146"/>
      <c r="C22" s="230"/>
      <c r="D22" s="147"/>
      <c r="E22" s="153"/>
      <c r="F22" s="146"/>
      <c r="G22" s="146"/>
      <c r="H22" s="146"/>
      <c r="I22" s="146"/>
      <c r="J22" s="146"/>
      <c r="K22" s="146"/>
      <c r="L22" s="146"/>
    </row>
    <row r="23" spans="1:12" ht="20.100000000000001" customHeight="1" thickBot="1" x14ac:dyDescent="0.2">
      <c r="A23" s="146"/>
      <c r="B23" s="146" t="s">
        <v>243</v>
      </c>
      <c r="C23" s="154"/>
      <c r="D23" s="147" t="s">
        <v>240</v>
      </c>
      <c r="E23" s="167"/>
      <c r="F23" s="146" t="s">
        <v>244</v>
      </c>
      <c r="G23" s="146"/>
      <c r="H23" s="146"/>
      <c r="I23" s="146"/>
      <c r="J23" s="146" t="s">
        <v>327</v>
      </c>
      <c r="K23" s="146"/>
      <c r="L23" s="146"/>
    </row>
    <row r="24" spans="1:12" ht="20.100000000000001" customHeight="1" x14ac:dyDescent="0.15">
      <c r="A24" s="146"/>
      <c r="B24" s="146"/>
      <c r="C24" s="59"/>
      <c r="D24" s="147"/>
      <c r="E24" s="146"/>
      <c r="F24" s="146"/>
      <c r="G24" s="146"/>
      <c r="H24" s="146"/>
      <c r="I24" s="146"/>
      <c r="J24" s="34" t="s">
        <v>245</v>
      </c>
      <c r="K24" s="34" t="s">
        <v>246</v>
      </c>
      <c r="L24" s="45"/>
    </row>
    <row r="25" spans="1:12" ht="20.100000000000001" customHeight="1" x14ac:dyDescent="0.15">
      <c r="A25" s="146"/>
      <c r="B25" s="151" t="s">
        <v>438</v>
      </c>
      <c r="C25" s="154" t="s">
        <v>310</v>
      </c>
      <c r="D25" s="155" t="s">
        <v>240</v>
      </c>
      <c r="E25" s="696" t="s">
        <v>247</v>
      </c>
      <c r="F25" s="696"/>
      <c r="G25" s="696"/>
      <c r="H25" s="696"/>
      <c r="I25" s="697"/>
      <c r="J25" s="35" t="s">
        <v>248</v>
      </c>
      <c r="K25" s="34">
        <v>0.4</v>
      </c>
      <c r="L25" s="37"/>
    </row>
    <row r="26" spans="1:12" ht="20.100000000000001" customHeight="1" x14ac:dyDescent="0.15">
      <c r="A26" s="146"/>
      <c r="B26" s="151"/>
      <c r="C26" s="154"/>
      <c r="D26" s="155" t="s">
        <v>240</v>
      </c>
      <c r="E26" s="341">
        <f>ROUND(E4*E29*3600/100,3)</f>
        <v>0.122</v>
      </c>
      <c r="F26" s="146" t="s">
        <v>475</v>
      </c>
      <c r="G26" s="155"/>
      <c r="H26" s="157"/>
      <c r="I26" s="157"/>
      <c r="J26" s="35" t="s">
        <v>249</v>
      </c>
      <c r="K26" s="34">
        <v>0.1</v>
      </c>
      <c r="L26" s="37"/>
    </row>
    <row r="27" spans="1:12" ht="20.100000000000001" customHeight="1" x14ac:dyDescent="0.15">
      <c r="A27" s="146"/>
      <c r="B27" s="151"/>
      <c r="C27" s="154"/>
      <c r="D27" s="155"/>
      <c r="E27" s="151"/>
      <c r="F27" s="146"/>
      <c r="G27" s="155"/>
      <c r="H27" s="157"/>
      <c r="I27" s="157"/>
      <c r="J27" s="35" t="s">
        <v>250</v>
      </c>
      <c r="K27" s="34">
        <v>0.2</v>
      </c>
      <c r="L27" s="37"/>
    </row>
    <row r="28" spans="1:12" ht="20.100000000000001" customHeight="1" x14ac:dyDescent="0.15">
      <c r="A28" s="146"/>
      <c r="B28" s="146" t="s">
        <v>439</v>
      </c>
      <c r="C28" s="154" t="s">
        <v>303</v>
      </c>
      <c r="D28" s="147" t="s">
        <v>240</v>
      </c>
      <c r="E28" s="146" t="s">
        <v>251</v>
      </c>
      <c r="F28" s="146"/>
      <c r="G28" s="146"/>
      <c r="H28" s="151"/>
      <c r="I28" s="151"/>
      <c r="J28" s="35" t="s">
        <v>252</v>
      </c>
      <c r="K28" s="34">
        <v>0.2</v>
      </c>
      <c r="L28" s="37"/>
    </row>
    <row r="29" spans="1:12" ht="20.100000000000001" customHeight="1" x14ac:dyDescent="0.15">
      <c r="A29" s="146"/>
      <c r="B29" s="146"/>
      <c r="C29" s="59"/>
      <c r="D29" s="147" t="s">
        <v>240</v>
      </c>
      <c r="E29" s="341">
        <f>ROUND(E11*E7+E14,3)</f>
        <v>0.67700000000000005</v>
      </c>
      <c r="F29" s="146" t="s">
        <v>457</v>
      </c>
      <c r="G29" s="146"/>
      <c r="H29" s="156"/>
      <c r="I29" s="151"/>
      <c r="J29" s="35" t="s">
        <v>253</v>
      </c>
      <c r="K29" s="34">
        <v>0.2</v>
      </c>
      <c r="L29" s="37"/>
    </row>
    <row r="30" spans="1:12" ht="20.100000000000001" customHeight="1" x14ac:dyDescent="0.15">
      <c r="A30" s="146"/>
      <c r="B30" s="146"/>
      <c r="C30" s="154"/>
      <c r="D30" s="147"/>
      <c r="E30" s="146"/>
      <c r="F30" s="146"/>
      <c r="G30" s="146"/>
      <c r="H30" s="156"/>
      <c r="I30" s="151"/>
      <c r="J30" s="35" t="s">
        <v>254</v>
      </c>
      <c r="K30" s="34">
        <v>0.2</v>
      </c>
      <c r="L30" s="37"/>
    </row>
    <row r="31" spans="1:12" ht="20.100000000000001" customHeight="1" x14ac:dyDescent="0.15">
      <c r="A31" s="146"/>
      <c r="B31" s="146" t="s">
        <v>440</v>
      </c>
      <c r="C31" s="154" t="s">
        <v>61</v>
      </c>
      <c r="D31" s="147" t="s">
        <v>240</v>
      </c>
      <c r="E31" s="146" t="s">
        <v>255</v>
      </c>
      <c r="F31" s="146"/>
      <c r="G31" s="146"/>
      <c r="H31" s="156"/>
      <c r="I31" s="151"/>
      <c r="J31" s="36" t="s">
        <v>256</v>
      </c>
      <c r="K31" s="164" t="s">
        <v>257</v>
      </c>
      <c r="L31" s="38"/>
    </row>
    <row r="32" spans="1:12" ht="20.100000000000001" customHeight="1" x14ac:dyDescent="0.15">
      <c r="A32" s="146"/>
      <c r="B32" s="146"/>
      <c r="C32" s="59"/>
      <c r="D32" s="147" t="s">
        <v>240</v>
      </c>
      <c r="E32" s="333">
        <f>ROUND(E17*E26,3)</f>
        <v>9.9000000000000005E-2</v>
      </c>
      <c r="F32" s="146" t="s">
        <v>475</v>
      </c>
      <c r="G32" s="146"/>
      <c r="H32" s="151"/>
      <c r="I32" s="151"/>
      <c r="J32" s="158"/>
      <c r="K32" s="158"/>
      <c r="L32" s="153"/>
    </row>
    <row r="33" spans="1:12" ht="20.100000000000001" customHeight="1" x14ac:dyDescent="0.15">
      <c r="A33" s="146"/>
      <c r="B33" s="146"/>
      <c r="C33" s="154"/>
      <c r="D33" s="147"/>
      <c r="E33" s="146"/>
      <c r="F33" s="146"/>
      <c r="G33" s="146"/>
      <c r="H33" s="151"/>
      <c r="I33" s="151"/>
      <c r="J33" s="153"/>
      <c r="K33" s="153"/>
      <c r="L33" s="153"/>
    </row>
    <row r="34" spans="1:12" ht="20.100000000000001" customHeight="1" x14ac:dyDescent="0.15">
      <c r="A34" s="146"/>
      <c r="B34" s="42" t="s">
        <v>259</v>
      </c>
      <c r="C34" s="59" t="s">
        <v>313</v>
      </c>
      <c r="D34" s="147" t="s">
        <v>240</v>
      </c>
      <c r="E34" s="146" t="s">
        <v>260</v>
      </c>
      <c r="F34" s="146"/>
      <c r="G34" s="146"/>
      <c r="H34" s="156"/>
      <c r="I34" s="151"/>
      <c r="J34" s="153"/>
      <c r="K34" s="153"/>
      <c r="L34" s="153"/>
    </row>
    <row r="35" spans="1:12" ht="20.100000000000001" customHeight="1" x14ac:dyDescent="0.15">
      <c r="A35" s="146"/>
      <c r="B35" s="146"/>
      <c r="C35" s="154"/>
      <c r="D35" s="147" t="s">
        <v>240</v>
      </c>
      <c r="E35" s="337">
        <f>E32*E19</f>
        <v>0</v>
      </c>
      <c r="F35" s="146" t="s">
        <v>261</v>
      </c>
      <c r="G35" s="146"/>
      <c r="H35" s="156"/>
      <c r="I35" s="159"/>
      <c r="J35" s="159"/>
      <c r="K35" s="160"/>
      <c r="L35" s="160"/>
    </row>
    <row r="36" spans="1:12" ht="20.100000000000001" customHeight="1" x14ac:dyDescent="0.15">
      <c r="A36" s="146"/>
      <c r="B36" s="146"/>
      <c r="C36" s="146"/>
      <c r="D36" s="147"/>
      <c r="E36" s="146"/>
      <c r="F36" s="146"/>
      <c r="G36" s="146"/>
      <c r="H36" s="156"/>
      <c r="I36" s="159"/>
      <c r="J36" s="159"/>
      <c r="K36" s="160"/>
      <c r="L36" s="160"/>
    </row>
    <row r="37" spans="1:12" ht="20.100000000000001" customHeight="1" x14ac:dyDescent="0.15">
      <c r="A37" s="146"/>
      <c r="B37" s="42" t="s">
        <v>262</v>
      </c>
      <c r="C37" s="59" t="s">
        <v>367</v>
      </c>
      <c r="D37" s="147" t="s">
        <v>240</v>
      </c>
      <c r="E37" s="146" t="s">
        <v>293</v>
      </c>
      <c r="F37" s="154"/>
      <c r="G37" s="146"/>
      <c r="H37" s="151"/>
      <c r="I37" s="155"/>
      <c r="J37" s="151"/>
      <c r="K37" s="151"/>
      <c r="L37" s="151"/>
    </row>
    <row r="38" spans="1:12" ht="20.100000000000001" customHeight="1" x14ac:dyDescent="0.15">
      <c r="A38" s="146"/>
      <c r="B38" s="146"/>
      <c r="C38" s="146"/>
      <c r="D38" s="147" t="s">
        <v>240</v>
      </c>
      <c r="E38" s="337">
        <f>ROUND(E41+E44,3)</f>
        <v>0</v>
      </c>
      <c r="F38" s="146" t="s">
        <v>264</v>
      </c>
      <c r="G38" s="156"/>
      <c r="H38" s="151"/>
      <c r="I38" s="151"/>
      <c r="J38" s="151"/>
      <c r="K38" s="151"/>
      <c r="L38" s="151"/>
    </row>
    <row r="39" spans="1:12" ht="20.100000000000001" customHeight="1" x14ac:dyDescent="0.15">
      <c r="A39" s="146"/>
      <c r="B39" s="146"/>
      <c r="C39" s="146"/>
      <c r="D39" s="147"/>
      <c r="E39" s="146"/>
      <c r="F39" s="146"/>
      <c r="G39" s="155"/>
      <c r="H39" s="157"/>
      <c r="I39" s="157"/>
      <c r="J39" s="151"/>
      <c r="K39" s="151"/>
      <c r="L39" s="151"/>
    </row>
    <row r="40" spans="1:12" ht="20.100000000000001" customHeight="1" x14ac:dyDescent="0.15">
      <c r="A40" s="146"/>
      <c r="B40" s="146" t="s">
        <v>294</v>
      </c>
      <c r="C40" s="146"/>
      <c r="D40" s="147" t="s">
        <v>240</v>
      </c>
      <c r="E40" s="146" t="s">
        <v>295</v>
      </c>
      <c r="F40" s="146"/>
      <c r="G40" s="155"/>
      <c r="H40" s="157"/>
      <c r="I40" s="157"/>
      <c r="J40" s="151"/>
      <c r="K40" s="151"/>
      <c r="L40" s="151"/>
    </row>
    <row r="41" spans="1:12" ht="20.100000000000001" customHeight="1" x14ac:dyDescent="0.15">
      <c r="A41" s="146"/>
      <c r="B41" s="146"/>
      <c r="C41" s="146"/>
      <c r="D41" s="147" t="s">
        <v>240</v>
      </c>
      <c r="E41" s="333">
        <f>ROUND(E19*E21,3)</f>
        <v>0</v>
      </c>
      <c r="F41" s="146"/>
      <c r="G41" s="155"/>
      <c r="H41" s="157"/>
      <c r="I41" s="157"/>
      <c r="J41" s="151"/>
      <c r="K41" s="151"/>
      <c r="L41" s="151"/>
    </row>
    <row r="42" spans="1:12" ht="20.100000000000001" customHeight="1" x14ac:dyDescent="0.15">
      <c r="A42" s="146"/>
      <c r="B42" s="146"/>
      <c r="C42" s="146"/>
      <c r="D42" s="147"/>
      <c r="E42" s="146"/>
      <c r="F42" s="146"/>
      <c r="G42" s="155"/>
      <c r="H42" s="157"/>
      <c r="I42" s="157"/>
      <c r="J42" s="151"/>
      <c r="K42" s="151"/>
      <c r="L42" s="151"/>
    </row>
    <row r="43" spans="1:12" ht="20.100000000000001" customHeight="1" x14ac:dyDescent="0.15">
      <c r="A43" s="146"/>
      <c r="B43" s="146" t="s">
        <v>296</v>
      </c>
      <c r="C43" s="146"/>
      <c r="D43" s="147" t="s">
        <v>240</v>
      </c>
      <c r="E43" s="146" t="s">
        <v>297</v>
      </c>
      <c r="F43" s="146"/>
      <c r="G43" s="155"/>
      <c r="H43" s="157"/>
      <c r="I43" s="157"/>
      <c r="J43" s="151"/>
      <c r="K43" s="151"/>
      <c r="L43" s="151"/>
    </row>
    <row r="44" spans="1:12" ht="20.100000000000001" customHeight="1" x14ac:dyDescent="0.15">
      <c r="A44" s="146"/>
      <c r="B44" s="146"/>
      <c r="C44" s="146"/>
      <c r="D44" s="147" t="s">
        <v>240</v>
      </c>
      <c r="E44" s="333">
        <f>ROUND((E7*E9-E21)*E19*E23,3)</f>
        <v>0</v>
      </c>
      <c r="F44" s="146"/>
      <c r="G44" s="155"/>
      <c r="H44" s="157"/>
      <c r="I44" s="157"/>
      <c r="J44" s="151"/>
      <c r="K44" s="151"/>
      <c r="L44" s="151"/>
    </row>
    <row r="45" spans="1:12" ht="20.100000000000001" customHeight="1" x14ac:dyDescent="0.15">
      <c r="A45" s="146"/>
      <c r="B45" s="146"/>
      <c r="C45" s="146"/>
      <c r="D45" s="147"/>
      <c r="E45" s="146"/>
      <c r="F45" s="146"/>
      <c r="G45" s="155"/>
      <c r="H45" s="157"/>
      <c r="I45" s="157"/>
      <c r="J45" s="151"/>
      <c r="K45" s="151"/>
      <c r="L45" s="151"/>
    </row>
    <row r="46" spans="1:12" ht="20.100000000000001" customHeight="1" x14ac:dyDescent="0.15">
      <c r="A46" s="146"/>
      <c r="B46" s="146" t="s">
        <v>298</v>
      </c>
      <c r="C46" s="146"/>
      <c r="D46" s="147" t="s">
        <v>240</v>
      </c>
      <c r="E46" s="146" t="s">
        <v>266</v>
      </c>
      <c r="F46" s="146"/>
      <c r="G46" s="146"/>
      <c r="H46" s="151"/>
      <c r="I46" s="151"/>
      <c r="J46" s="151"/>
      <c r="K46" s="151"/>
      <c r="L46" s="151"/>
    </row>
    <row r="47" spans="1:12" ht="20.100000000000001" customHeight="1" x14ac:dyDescent="0.15">
      <c r="A47" s="146"/>
      <c r="B47" s="146"/>
      <c r="C47" s="146"/>
      <c r="D47" s="147" t="s">
        <v>240</v>
      </c>
      <c r="E47" s="333">
        <f>E38+E35</f>
        <v>0</v>
      </c>
      <c r="F47" s="146" t="s">
        <v>261</v>
      </c>
      <c r="G47" s="147"/>
      <c r="H47" s="151"/>
      <c r="I47" s="151"/>
      <c r="J47" s="151"/>
      <c r="K47" s="151"/>
      <c r="L47" s="151"/>
    </row>
    <row r="50" spans="2:3" x14ac:dyDescent="0.15">
      <c r="B50" s="42" t="s">
        <v>404</v>
      </c>
      <c r="C50" s="42"/>
    </row>
  </sheetData>
  <mergeCells count="1">
    <mergeCell ref="E25:I25"/>
  </mergeCells>
  <phoneticPr fontId="2"/>
  <printOptions horizontalCentered="1"/>
  <pageMargins left="0.59055118110236227" right="0.39370078740157483" top="0.59055118110236227" bottom="0.39370078740157483" header="0.19685039370078741" footer="0.19685039370078741"/>
  <pageSetup paperSize="9" scale="79" orientation="portrait" r:id="rId1"/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データ入力</vt:lpstr>
      <vt:lpstr>通水量</vt:lpstr>
      <vt:lpstr>市街化区域</vt:lpstr>
      <vt:lpstr>調整区域</vt:lpstr>
      <vt:lpstr>抑制対策必要の場合→</vt:lpstr>
      <vt:lpstr>抑制対策量計算(市街化区域)</vt:lpstr>
      <vt:lpstr>抑制対策量計算(調整区域)</vt:lpstr>
      <vt:lpstr>①透水性舗装対策量</vt:lpstr>
      <vt:lpstr>②浸透ﾄﾚﾝﾁ、浸透側溝抑制対策量計算</vt:lpstr>
      <vt:lpstr>③浸透ます(正方形)対策量</vt:lpstr>
      <vt:lpstr>④浸透ます(円形)対策量 </vt:lpstr>
      <vt:lpstr>①透水性舗装対策量!Print_Area</vt:lpstr>
      <vt:lpstr>'②浸透ﾄﾚﾝﾁ、浸透側溝抑制対策量計算'!Print_Area</vt:lpstr>
      <vt:lpstr>'③浸透ます(正方形)対策量'!Print_Area</vt:lpstr>
      <vt:lpstr>'④浸透ます(円形)対策量 '!Print_Area</vt:lpstr>
      <vt:lpstr>データ入力!Print_Area</vt:lpstr>
      <vt:lpstr>市街化区域!Print_Area</vt:lpstr>
      <vt:lpstr>調整区域!Print_Area</vt:lpstr>
      <vt:lpstr>通水量!Print_Area</vt:lpstr>
      <vt:lpstr>'抑制対策量計算(市街化区域)'!Print_Area</vt:lpstr>
      <vt:lpstr>'抑制対策量計算(調整区域)'!Print_Area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2025-08-13T00:05:37Z</dcterms:created>
  <dcterms:modified xsi:type="dcterms:W3CDTF">2025-08-13T00:05:59Z</dcterms:modified>
</cp:coreProperties>
</file>